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210" activeTab="0"/>
  </bookViews>
  <sheets>
    <sheet name="Calculator" sheetId="1" r:id="rId1"/>
    <sheet name="Supplementary Income" sheetId="2" r:id="rId2"/>
    <sheet name="Tables" sheetId="3" state="hidden" r:id="rId3"/>
    <sheet name="Company Income Notes" sheetId="4" state="hidden" r:id="rId4"/>
  </sheets>
  <definedNames>
    <definedName name="_BonusCommission">'Tables'!$N$9:$N$12</definedName>
    <definedName name="_EssentialService">'Tables'!$L$9:$L$12</definedName>
    <definedName name="_Overtime">'Tables'!$M$9:$M$12</definedName>
    <definedName name="_Portfolio">'Tables'!$K$9:$K$12</definedName>
    <definedName name="_Supplementary">'Tables'!$K$9:$N$12</definedName>
    <definedName name="AUTO_Bonus">'Supplementary Income'!$E$16</definedName>
    <definedName name="AUTO_Bonus2">'Supplementary Income'!$E$17</definedName>
    <definedName name="AUTO_Bonus3">'Supplementary Income'!$E$18</definedName>
    <definedName name="AUTO_Bonus4">'Supplementary Income'!$E$19</definedName>
    <definedName name="AUTO_BorrowerEntityType">'Calculator'!$B$47</definedName>
    <definedName name="AUTO_BorrowerEntityType2">'Calculator'!$B$48</definedName>
    <definedName name="AUTO_BorrowerEntityType3">'Calculator'!$B$49</definedName>
    <definedName name="AUTO_BorrowerEntityType4">'Calculator'!$B$50</definedName>
    <definedName name="AUTO_BusinessAddBacks">'Calculator'!$E$54</definedName>
    <definedName name="AUTO_BusinessEntityType">'Calculator'!#REF!</definedName>
    <definedName name="AUTO_BusinessNetProfit">'Calculator'!$C$54</definedName>
    <definedName name="AUTO_ChildSupport">'Supplementary Income'!$I$16</definedName>
    <definedName name="AUTO_ChildSupport2">'Supplementary Income'!$I$17</definedName>
    <definedName name="AUTO_ChildSupport3">'Supplementary Income'!$I$18</definedName>
    <definedName name="AUTO_ChildSupport4">'Supplementary Income'!$I$19</definedName>
    <definedName name="AUTO_CreditCardLimit">'Calculator'!$G$68</definedName>
    <definedName name="AUTO_ExistingInvestmentLoans">'Calculator'!$G$66</definedName>
    <definedName name="AUTO_ExistingOwnerOccupiedLoans">'Calculator'!$G$65</definedName>
    <definedName name="AUTO_GrossIncome">'Calculator'!$C$47</definedName>
    <definedName name="AUTO_GrossIncome2">'Calculator'!$C$48</definedName>
    <definedName name="AUTO_GrossIncome3">'Calculator'!$C$49</definedName>
    <definedName name="AUTO_GrossIncome4">'Calculator'!$C$50</definedName>
    <definedName name="AUTO_Investment">'Supplementary Income'!$F$16</definedName>
    <definedName name="AUTO_Investment2">'Supplementary Income'!$F$17</definedName>
    <definedName name="AUTO_Investment3">'Supplementary Income'!$F$18</definedName>
    <definedName name="AUTO_Investment4">'Supplementary Income'!$F$19</definedName>
    <definedName name="AUTO_IOTerm">'Calculator'!$D$31</definedName>
    <definedName name="AUTO_IOTerm2">'Calculator'!$D$32</definedName>
    <definedName name="AUTO_IOTerm3">'Calculator'!$D$33</definedName>
    <definedName name="AUTO_IOTerm4">'Calculator'!$D$34</definedName>
    <definedName name="AUTO_IOTerm5">'Calculator'!$D$35</definedName>
    <definedName name="AUTO_IOTerm6">'Calculator'!$D$36</definedName>
    <definedName name="AUTO_IsIncomeAcceptable">'Supplementary Income'!$B$16</definedName>
    <definedName name="AUTO_IsIncomeAcceptable2">'Supplementary Income'!$B$17</definedName>
    <definedName name="AUTO_IsIncomeAcceptable3">'Supplementary Income'!$B$18</definedName>
    <definedName name="AUTO_IsIncomeAcceptable4">'Supplementary Income'!$B$19</definedName>
    <definedName name="AUTO_Loan">'Calculator'!$C$18</definedName>
    <definedName name="AUTO_LoanAmount">'Calculator'!$C$31</definedName>
    <definedName name="AUTO_LoanAmount2">'Calculator'!$C$32</definedName>
    <definedName name="AUTO_LoanAmount3">'Calculator'!$C$33</definedName>
    <definedName name="AUTO_LoanAmount4">'Calculator'!$C$34</definedName>
    <definedName name="AUTO_LoanAmount5">'Calculator'!$C$35</definedName>
    <definedName name="AUTO_LoanAmount6">'Calculator'!$C$36</definedName>
    <definedName name="AUTO_LoanAmountInvestment">'Calculator'!$C$39</definedName>
    <definedName name="AUTO_LoanAmountOwnerOccupied">'Calculator'!#REF!</definedName>
    <definedName name="AUTO_LoanInterestRate">'Calculator'!$C$26</definedName>
    <definedName name="AUTO_LoanTerm">'Calculator'!$C$25</definedName>
    <definedName name="AUTO_MortgageInsurer">'Calculator'!$C$27</definedName>
    <definedName name="AUTO_NumberAdults">'Calculator'!$C$20</definedName>
    <definedName name="AUTO_NumberChildren">'Calculator'!$C$23</definedName>
    <definedName name="AUTO_NumberCouples">'Calculator'!$C$21</definedName>
    <definedName name="AUTO_OtherExpenses">'Calculator'!$H$69</definedName>
    <definedName name="AUTO_OtherInvestmentMortgages">'Calculator'!$H$66</definedName>
    <definedName name="AUTO_OtherMortgages">'Calculator'!$H$65</definedName>
    <definedName name="AUTO_OvertimeShiftAllowances">'Supplementary Income'!$D$16</definedName>
    <definedName name="AUTO_OvertimeShiftAllowances2">'Supplementary Income'!$D$17</definedName>
    <definedName name="AUTO_OvertimeShiftAllowances3">'Supplementary Income'!$D$18</definedName>
    <definedName name="AUTO_OvertimeShiftAllowances4">'Supplementary Income'!$D$19</definedName>
    <definedName name="AUTO_PersonalLoans">'Calculator'!$H$67</definedName>
    <definedName name="AUTO_RentTotal">'Calculator'!$C$64</definedName>
    <definedName name="AUTO_SecondCasual">'Supplementary Income'!$G$16</definedName>
    <definedName name="AUTO_SecondCasual2">'Supplementary Income'!$G$17</definedName>
    <definedName name="AUTO_SecondCasual3">'Supplementary Income'!$G$18</definedName>
    <definedName name="AUTO_SecondCasual4">'Supplementary Income'!$G$19</definedName>
    <definedName name="AUTO_SecurityInvestmentValue">'Calculator'!$I$26</definedName>
    <definedName name="AUTO_SecurityOwnerOccupiedValue">'Calculator'!$I$25</definedName>
    <definedName name="AUTO_SocialSecurityIncome">'Supplementary Income'!$H$16</definedName>
    <definedName name="AUTO_SocialSecurityIncome2">'Supplementary Income'!$H$17</definedName>
    <definedName name="AUTO_SocialSecurityIncome3">'Supplementary Income'!$H$18</definedName>
    <definedName name="AUTO_SocialSecurityIncome4">'Supplementary Income'!$H$19</definedName>
    <definedName name="AUTO_TotalAdditionalLivingExpenses">'Calculator'!$C$60</definedName>
    <definedName name="AUTO_TotalDeclaredLivingExpenses">'Calculator'!$C$58</definedName>
    <definedName name="AUTO_Underwriter">'Calculator'!$C$8</definedName>
    <definedName name="CALC">'Calculator'!$C$62</definedName>
    <definedName name="calculatorSheet">'Calculator'!$A$1:$I$122</definedName>
    <definedName name="inputCell">'Calculator'!$I$10</definedName>
    <definedName name="listMortgageInsurers">'Tables'!$F$20:$F$22</definedName>
    <definedName name="listMortgageInsurersData">'Tables'!$F$20:$I$22</definedName>
    <definedName name="mortgageInsurer">'Calculator'!$C$27</definedName>
    <definedName name="PaymentType">'Tables'!$H$3:$H$4</definedName>
    <definedName name="_xlnm.Print_Area" localSheetId="0">'Calculator'!$A$1:$I$107</definedName>
    <definedName name="_xlnm.Print_Area" localSheetId="1">'Supplementary Income'!$A$7:$I$23</definedName>
    <definedName name="rate">'Calculator'!$C$26</definedName>
    <definedName name="SecurityPurpose">'Tables'!$F$3:$F$4</definedName>
    <definedName name="underWriterName">'Calculator'!$C$8</definedName>
  </definedNames>
  <calcPr fullCalcOnLoad="1"/>
</workbook>
</file>

<file path=xl/sharedStrings.xml><?xml version="1.0" encoding="utf-8"?>
<sst xmlns="http://schemas.openxmlformats.org/spreadsheetml/2006/main" count="216" uniqueCount="191">
  <si>
    <t>DSR / NSR Calculator</t>
  </si>
  <si>
    <t>Underwriter's Name</t>
  </si>
  <si>
    <t>Loan to Valuation Ratio (LVR)</t>
  </si>
  <si>
    <t>Total Security Value</t>
  </si>
  <si>
    <t>Applicant 3</t>
  </si>
  <si>
    <t>Applicant 4</t>
  </si>
  <si>
    <t>Debt Service Ratio (DSR)</t>
  </si>
  <si>
    <t>Deductible Interest</t>
  </si>
  <si>
    <t>Net Cash after Tax</t>
  </si>
  <si>
    <t>Living Expenses (as per scales)</t>
  </si>
  <si>
    <t>Net Service Ratio (NSR)</t>
  </si>
  <si>
    <t>Personal Loans</t>
  </si>
  <si>
    <t>Total Financial Expense</t>
  </si>
  <si>
    <t>Net Financial Expense</t>
  </si>
  <si>
    <t>Value - Owner Occupied Property</t>
  </si>
  <si>
    <t>Security Position</t>
  </si>
  <si>
    <t>Blue shaded cells applies appropriate scales</t>
  </si>
  <si>
    <t>Cell Index</t>
  </si>
  <si>
    <t>Term of Loan (No. of Years)</t>
  </si>
  <si>
    <t>1.   LOAN DETAILS</t>
  </si>
  <si>
    <t>3.   NSR CALCULATION</t>
  </si>
  <si>
    <t>Value - Investment Property/ies</t>
  </si>
  <si>
    <t>Interest Rate - Actual</t>
  </si>
  <si>
    <t>Total Rent p.w.</t>
  </si>
  <si>
    <t>Total Rent p.a.</t>
  </si>
  <si>
    <t>Applicant 1</t>
  </si>
  <si>
    <t>Applicant 2</t>
  </si>
  <si>
    <t>Other Mortgages - Owner Occupied</t>
  </si>
  <si>
    <t>Other Mortgages - Investment</t>
  </si>
  <si>
    <t>Net Disposable Income</t>
  </si>
  <si>
    <t>Underwriter's Signature</t>
  </si>
  <si>
    <t>No of Dependants</t>
  </si>
  <si>
    <t>Tax Boundary</t>
  </si>
  <si>
    <t>Tax Due</t>
  </si>
  <si>
    <t>Excess %</t>
  </si>
  <si>
    <t>ANNUAL INCOME:</t>
  </si>
  <si>
    <t>Tax Due on Boundary</t>
  </si>
  <si>
    <t>% Due on Excess</t>
  </si>
  <si>
    <t>Tax due on Income:</t>
  </si>
  <si>
    <t>Taxable Income</t>
  </si>
  <si>
    <t>Tax Applicable</t>
  </si>
  <si>
    <t>B</t>
  </si>
  <si>
    <t>Totals for Individuals</t>
  </si>
  <si>
    <t>Business NPAT plus Addbacks</t>
  </si>
  <si>
    <t>Individual Applicant 1</t>
  </si>
  <si>
    <t>Individual Applicant 2</t>
  </si>
  <si>
    <t>Individual Applicant 3</t>
  </si>
  <si>
    <t>Individual Applicant 4</t>
  </si>
  <si>
    <t>Number of Dependent Children</t>
  </si>
  <si>
    <t>BR</t>
  </si>
  <si>
    <t>GR</t>
  </si>
  <si>
    <t>G</t>
  </si>
  <si>
    <t>Number of Couples</t>
  </si>
  <si>
    <t>4. COMMENTS</t>
  </si>
  <si>
    <t>Surplus Cash after Financial Expense</t>
  </si>
  <si>
    <t>80% of Total Rent p.a.</t>
  </si>
  <si>
    <t>Less 80% Rental Income</t>
  </si>
  <si>
    <t>Apportioned Rent to Borrowers (to total 80%)</t>
  </si>
  <si>
    <t>Each Independent Adult</t>
  </si>
  <si>
    <t>Each Couple</t>
  </si>
  <si>
    <t>Rental Income @80%)</t>
  </si>
  <si>
    <t>White shaded cells derived from formulas</t>
  </si>
  <si>
    <t>Credit card Assessment</t>
  </si>
  <si>
    <t>Rent</t>
  </si>
  <si>
    <t>DInt</t>
  </si>
  <si>
    <t>Calculate the interest payable on this loan using the 'actual' interest rate. Enter this as a negative figure on the Financial Expenses 'Others' field.</t>
  </si>
  <si>
    <t>Include this interest figure as a new expense to the company by taking the amount away from the current Net Profit of the company.</t>
  </si>
  <si>
    <t>Where this loan will pay out a previous debt of the companies, add back the interest that was included as an expense in the company financials of this debt.</t>
  </si>
  <si>
    <t>Where this loan is to purchase a new property that will be rented, calculate 80% of the proposed rent and add this to the Net Profit figure. Where this is done do not include that rent under Rent Details.</t>
  </si>
  <si>
    <t>Company Net Profit adjusted where loan applied for will be paid for by company 
(i.e. company borrower)</t>
  </si>
  <si>
    <t xml:space="preserve">Where income of the directors (guarantors) is being used in the serviceability calculation all their expenses also need to be included. </t>
  </si>
  <si>
    <t>Living Expenses (Annual)</t>
  </si>
  <si>
    <t>Poverty Line Australia:</t>
  </si>
  <si>
    <t>Rate</t>
  </si>
  <si>
    <t>Effective  Date</t>
  </si>
  <si>
    <t>NET INCOME (per annum):</t>
  </si>
  <si>
    <t>Select Mortgage Insurer</t>
  </si>
  <si>
    <t>Tax Rates (with Medicare levy)</t>
  </si>
  <si>
    <t>Loading</t>
  </si>
  <si>
    <t xml:space="preserve"> Benchmark Servicing Interest Rate</t>
  </si>
  <si>
    <t>Created:</t>
  </si>
  <si>
    <t xml:space="preserve">   /                /</t>
  </si>
  <si>
    <r>
      <t>Insert</t>
    </r>
    <r>
      <rPr>
        <sz val="11"/>
        <rFont val="Arial"/>
        <family val="2"/>
      </rPr>
      <t xml:space="preserve"> the relevant details into blank fields in yellow cells</t>
    </r>
  </si>
  <si>
    <r>
      <t>Show</t>
    </r>
    <r>
      <rPr>
        <sz val="11"/>
        <rFont val="Arial"/>
        <family val="2"/>
      </rPr>
      <t xml:space="preserve"> split loan amounts in correct fields</t>
    </r>
  </si>
  <si>
    <r>
      <t>There</t>
    </r>
    <r>
      <rPr>
        <sz val="11"/>
        <rFont val="Arial"/>
        <family val="2"/>
      </rPr>
      <t xml:space="preserve"> must be at least one borrower</t>
    </r>
  </si>
  <si>
    <r>
      <t xml:space="preserve">NOTE: </t>
    </r>
    <r>
      <rPr>
        <sz val="11"/>
        <rFont val="Arial"/>
        <family val="2"/>
      </rPr>
      <t>This servicing calculator was prepared as a guide for loan assessment. If DSR/NSR results are marginal, other mitigating factors may be considered.  Please provide a detailed explanation in the "Comments" section.</t>
    </r>
  </si>
  <si>
    <t>Application Name / Loan No. / Ref:</t>
  </si>
  <si>
    <t>Tax Rates from 01/07/14</t>
  </si>
  <si>
    <t>Repayment</t>
  </si>
  <si>
    <t>Proposed Loan</t>
  </si>
  <si>
    <t>Repayment at stressed rate</t>
  </si>
  <si>
    <t>Advised repayment</t>
  </si>
  <si>
    <t>O/O</t>
  </si>
  <si>
    <t>Invest</t>
  </si>
  <si>
    <t>Limit / Balance</t>
  </si>
  <si>
    <t>n/a</t>
  </si>
  <si>
    <t>Assessed Repayment</t>
  </si>
  <si>
    <t>Number of Single Adults</t>
  </si>
  <si>
    <t>Company Income</t>
  </si>
  <si>
    <t>New Investment Property</t>
  </si>
  <si>
    <t>Other Investment Securities</t>
  </si>
  <si>
    <t>Existing Securities</t>
  </si>
  <si>
    <t>Annual</t>
  </si>
  <si>
    <t>Government Benefits / Tax Free</t>
  </si>
  <si>
    <t>Monthly Living Expenses</t>
  </si>
  <si>
    <t>Monthly Financial Expenses</t>
  </si>
  <si>
    <t>Weekly Gross Rental</t>
  </si>
  <si>
    <t>2.   INCOME AND EXPENSES</t>
  </si>
  <si>
    <t>Entity (see notes above)</t>
  </si>
  <si>
    <r>
      <rPr>
        <sz val="11"/>
        <rFont val="Arial"/>
        <family val="2"/>
      </rPr>
      <t>"</t>
    </r>
    <r>
      <rPr>
        <b/>
        <sz val="11"/>
        <rFont val="Arial"/>
        <family val="2"/>
      </rPr>
      <t>Entity</t>
    </r>
    <r>
      <rPr>
        <sz val="11"/>
        <rFont val="Arial"/>
        <family val="2"/>
      </rPr>
      <t>" field of NSR Calculation for Individual applicants,
Insert "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>"  for borrowers who are not mortgagors; if applicable for investment purposes, "B" will receive apportioned deductible interest but no rent income is apportioned
Insert "</t>
    </r>
    <r>
      <rPr>
        <b/>
        <sz val="11"/>
        <rFont val="Arial"/>
        <family val="2"/>
      </rPr>
      <t>BR</t>
    </r>
    <r>
      <rPr>
        <sz val="11"/>
        <rFont val="Arial"/>
        <family val="2"/>
      </rPr>
      <t>" for borrowers who are mortgagors and all SMSF borrowers/guarantors; If applicable for investment purposes, "BR" will receive apportioned rent income and deductible interest
Insert "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>" for Guarantor and no rent income or deductible interest is apportioned
Insert "</t>
    </r>
    <r>
      <rPr>
        <b/>
        <sz val="11"/>
        <rFont val="Arial"/>
        <family val="2"/>
      </rPr>
      <t>GR</t>
    </r>
    <r>
      <rPr>
        <sz val="11"/>
        <rFont val="Arial"/>
        <family val="2"/>
      </rPr>
      <t xml:space="preserve">" for guarantors who are mortgagors to receive apportioned rent income but no deductible interest
</t>
    </r>
  </si>
  <si>
    <t>Business Addbacks</t>
  </si>
  <si>
    <t>Business Net Profit Before Tax</t>
  </si>
  <si>
    <t>Business Net Profit After Tax</t>
  </si>
  <si>
    <t>Tax Applied</t>
  </si>
  <si>
    <t xml:space="preserve">Taxable Income </t>
  </si>
  <si>
    <t xml:space="preserve">Deductible Interest </t>
  </si>
  <si>
    <t xml:space="preserve">Tax Applied (Medicare Levy inclusive)  </t>
  </si>
  <si>
    <t>Portion 2</t>
  </si>
  <si>
    <t>Portion 3</t>
  </si>
  <si>
    <t>Portion 4</t>
  </si>
  <si>
    <t>Portion 5</t>
  </si>
  <si>
    <t>Portion 6</t>
  </si>
  <si>
    <t>Portion Amount</t>
  </si>
  <si>
    <t>Investment</t>
  </si>
  <si>
    <t>Owner Occupied</t>
  </si>
  <si>
    <t>Payment Type</t>
  </si>
  <si>
    <t>Interest Only</t>
  </si>
  <si>
    <t>P&amp;I</t>
  </si>
  <si>
    <t>Portion Purpose</t>
  </si>
  <si>
    <t>Assessed Loan Repayment</t>
  </si>
  <si>
    <t>Estimated Actual Repayment</t>
  </si>
  <si>
    <t>Total Loan</t>
  </si>
  <si>
    <t>Total loan amount for Investment Use</t>
  </si>
  <si>
    <t>Total loan amount for Owner Occupied</t>
  </si>
  <si>
    <t>I.O term (years)</t>
  </si>
  <si>
    <r>
      <t xml:space="preserve">(If Interest Only, estimated repayment is </t>
    </r>
    <r>
      <rPr>
        <i/>
        <u val="single"/>
        <sz val="11"/>
        <rFont val="Arial"/>
        <family val="2"/>
      </rPr>
      <t>after</t>
    </r>
    <r>
      <rPr>
        <i/>
        <sz val="11"/>
        <rFont val="Arial"/>
        <family val="2"/>
      </rPr>
      <t xml:space="preserve"> Interest Only period has expired.)</t>
    </r>
  </si>
  <si>
    <t xml:space="preserve">Portion 1 </t>
  </si>
  <si>
    <t>Note: All figures are to be entered at 100% and calculator will reduce assessment percentage where appropriate</t>
  </si>
  <si>
    <t>PAYG / Self Employed individuals</t>
  </si>
  <si>
    <t>Employed in essential services industry (Y/N)</t>
  </si>
  <si>
    <t>Base Income</t>
  </si>
  <si>
    <t>Overtime / Shift Allowance</t>
  </si>
  <si>
    <t>RESIMAC - Prime</t>
  </si>
  <si>
    <t>RESIMAC - Specialist</t>
  </si>
  <si>
    <t>Supplementary Income</t>
  </si>
  <si>
    <t>Total allowable Supplementary Income</t>
  </si>
  <si>
    <t>Portfolio</t>
  </si>
  <si>
    <t>EssentialServices</t>
  </si>
  <si>
    <t>Overtime</t>
  </si>
  <si>
    <t>Y</t>
  </si>
  <si>
    <t>N</t>
  </si>
  <si>
    <t>Essential Services</t>
  </si>
  <si>
    <t>SUPPLEMENTARY INCOME WORKSHEET</t>
  </si>
  <si>
    <t>(must includes all Basic and Additional Living Expenses)</t>
  </si>
  <si>
    <t>Applicant advised Living Expenses</t>
  </si>
  <si>
    <t>Dec 2015 Quarter</t>
  </si>
  <si>
    <t>Note: Interest rate is to be the highest rate across all portions</t>
  </si>
  <si>
    <t>Specialist</t>
  </si>
  <si>
    <t>Yellow shaded cells require input</t>
  </si>
  <si>
    <t>Final calculation Pass / Fail</t>
  </si>
  <si>
    <t>br</t>
  </si>
  <si>
    <t>Rent Expense/Business Loans/Child Support/Other/
Notional Rent ($650 per month per applicant)</t>
  </si>
  <si>
    <t>Cash Out to be excluded from Investment Use</t>
  </si>
  <si>
    <t>Note: Only include amounts where the investment use can be confirmed - i.e. refinance or purchase of investment property, etc</t>
  </si>
  <si>
    <r>
      <t>All</t>
    </r>
    <r>
      <rPr>
        <sz val="11"/>
        <rFont val="Arial"/>
        <family val="2"/>
      </rPr>
      <t xml:space="preserve"> loan purposes involving Investment properties will require weekly rental income in the appropriate Rent p.w. field
</t>
    </r>
    <r>
      <rPr>
        <b/>
        <sz val="11"/>
        <rFont val="Arial"/>
        <family val="2"/>
      </rPr>
      <t>Note:</t>
    </r>
    <r>
      <rPr>
        <sz val="11"/>
        <rFont val="Arial"/>
        <family val="2"/>
      </rPr>
      <t xml:space="preserve"> if the borrower combination is a company and individual person/s, please refer the loan directly to the Resimac Credit Department</t>
    </r>
  </si>
  <si>
    <t>Bonus / Commission</t>
  </si>
  <si>
    <t>Investment Income</t>
  </si>
  <si>
    <t>Bonus/Commission/Investment</t>
  </si>
  <si>
    <t>Overtime Mupltiple</t>
  </si>
  <si>
    <t>Other Income Multiple</t>
  </si>
  <si>
    <r>
      <t>Base Income</t>
    </r>
    <r>
      <rPr>
        <sz val="10"/>
        <rFont val="Arial"/>
        <family val="2"/>
      </rPr>
      <t xml:space="preserve"> (including any Addbacks and Net Profit if individual applicants)</t>
    </r>
  </si>
  <si>
    <t>Note: Company Income fields are only to be used when the borrowing entity and income source are the same company. For all applications in individual names use Individual income fields above.</t>
  </si>
  <si>
    <t>Family Tax A &amp; B / ongoing permanent Government Pensions</t>
  </si>
  <si>
    <t>Casual / Second Job</t>
  </si>
  <si>
    <t>Child Support / Maintenance</t>
  </si>
  <si>
    <t>Product Type</t>
  </si>
  <si>
    <t>Assessment Rate</t>
  </si>
  <si>
    <t>NSR Tables</t>
  </si>
  <si>
    <t>Over $1.5M</t>
  </si>
  <si>
    <t>Under $1.5M</t>
  </si>
  <si>
    <t>Note</t>
  </si>
  <si>
    <t>Note: Quickstart requires an NSR of 1.25</t>
  </si>
  <si>
    <t>Note: Prime exposure over $1.5m requires an NSR of 1.25</t>
  </si>
  <si>
    <t>Note: Requires an NSR of 1.00 and minimum $200 Surplus Cash</t>
  </si>
  <si>
    <r>
      <t xml:space="preserve">Total Incomes </t>
    </r>
    <r>
      <rPr>
        <sz val="11"/>
        <rFont val="Arial"/>
        <family val="2"/>
      </rPr>
      <t xml:space="preserve">(Base, Allowable Supplementary and </t>
    </r>
    <r>
      <rPr>
        <i/>
        <sz val="11"/>
        <color indexed="53"/>
        <rFont val="Arial"/>
        <family val="2"/>
      </rPr>
      <t>Business NPAT/Addbacks</t>
    </r>
    <r>
      <rPr>
        <sz val="11"/>
        <rFont val="Arial"/>
        <family val="2"/>
      </rPr>
      <t>)</t>
    </r>
  </si>
  <si>
    <t>Individual Gross Income</t>
  </si>
  <si>
    <t xml:space="preserve">Prime </t>
  </si>
  <si>
    <t>Quickstart / Non-Gen</t>
  </si>
  <si>
    <t>** Total Number of Applicants:</t>
  </si>
  <si>
    <t>Credit Cards Limits (incl. 'Buy Now Pay Later' facilities)</t>
  </si>
  <si>
    <t>Version 4.0 (27/11/2021)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</si>
</sst>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:mm\ AM/PM"/>
    <numFmt numFmtId="173" formatCode="0.000%"/>
    <numFmt numFmtId="174" formatCode="0.0000"/>
    <numFmt numFmtId="175" formatCode="&quot;$&quot;#,##0.00"/>
    <numFmt numFmtId="176" formatCode="&quot;$&quot;#,##0"/>
    <numFmt numFmtId="177" formatCode="_(&quot;$&quot;* #,##0.000_);_(&quot;$&quot;* \(#,##0.000\);_(&quot;$&quot;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0.0000%"/>
    <numFmt numFmtId="184" formatCode="_(&quot;$&quot;* #,##0.0000_);_(&quot;$&quot;* \(#,##0.0000\);_(&quot;$&quot;* &quot;-&quot;??_);_(@_)"/>
    <numFmt numFmtId="185" formatCode="General_);General_);0_);@_)"/>
    <numFmt numFmtId="186" formatCode="&quot;$&quot;#,##0.0_);[Red]\(&quot;$&quot;#,##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yy"/>
    <numFmt numFmtId="192" formatCode="0.0"/>
    <numFmt numFmtId="193" formatCode="[$-C09]dddd\,\ d\ mmmm\ yyyy"/>
    <numFmt numFmtId="194" formatCode="[$-409]h:mm:ss\ AM/PM"/>
    <numFmt numFmtId="195" formatCode="#,##0.000;\-#,##0.000"/>
  </numFmts>
  <fonts count="9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u val="single"/>
      <sz val="11"/>
      <name val="Arial"/>
      <family val="2"/>
    </font>
    <font>
      <i/>
      <sz val="11"/>
      <color indexed="53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i/>
      <u val="single"/>
      <sz val="1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63"/>
      <name val="Verdana"/>
      <family val="2"/>
    </font>
    <font>
      <i/>
      <sz val="10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i/>
      <sz val="11"/>
      <color rgb="FF4D4D4D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333333"/>
      <name val="Verdana"/>
      <family val="2"/>
    </font>
    <font>
      <i/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22"/>
        <bgColor indexed="22"/>
      </patternFill>
    </fill>
    <fill>
      <patternFill patternType="gray0625">
        <fgColor indexed="11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165" fontId="5" fillId="31" borderId="0">
      <alignment horizontal="right"/>
      <protection locked="0"/>
    </xf>
    <xf numFmtId="0" fontId="70" fillId="0" borderId="6" applyNumberFormat="0" applyFill="0" applyAlignment="0" applyProtection="0"/>
    <xf numFmtId="0" fontId="71" fillId="32" borderId="0" applyNumberFormat="0" applyBorder="0" applyAlignment="0" applyProtection="0"/>
    <xf numFmtId="0" fontId="0" fillId="33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165" fontId="7" fillId="34" borderId="0">
      <alignment/>
      <protection/>
    </xf>
    <xf numFmtId="185" fontId="5" fillId="35" borderId="0">
      <alignment horizontal="right"/>
      <protection/>
    </xf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36" borderId="0" xfId="0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1" fillId="37" borderId="0" xfId="0" applyFont="1" applyFill="1" applyAlignment="1">
      <alignment/>
    </xf>
    <xf numFmtId="185" fontId="0" fillId="36" borderId="0" xfId="60" applyFont="1" applyFill="1" applyBorder="1" applyProtection="1">
      <alignment horizontal="right"/>
      <protection/>
    </xf>
    <xf numFmtId="0" fontId="8" fillId="37" borderId="0" xfId="0" applyFont="1" applyFill="1" applyAlignment="1">
      <alignment/>
    </xf>
    <xf numFmtId="0" fontId="9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right"/>
    </xf>
    <xf numFmtId="0" fontId="1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right"/>
    </xf>
    <xf numFmtId="0" fontId="1" fillId="37" borderId="10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179" fontId="1" fillId="37" borderId="0" xfId="44" applyNumberFormat="1" applyFont="1" applyFill="1" applyBorder="1" applyAlignment="1">
      <alignment/>
    </xf>
    <xf numFmtId="179" fontId="1" fillId="37" borderId="0" xfId="44" applyNumberFormat="1" applyFont="1" applyFill="1" applyBorder="1" applyAlignment="1" quotePrefix="1">
      <alignment horizontal="left"/>
    </xf>
    <xf numFmtId="0" fontId="1" fillId="37" borderId="10" xfId="0" applyFont="1" applyFill="1" applyBorder="1" applyAlignment="1">
      <alignment horizontal="left"/>
    </xf>
    <xf numFmtId="0" fontId="4" fillId="37" borderId="0" xfId="0" applyFont="1" applyFill="1" applyBorder="1" applyAlignment="1" quotePrefix="1">
      <alignment horizontal="center"/>
    </xf>
    <xf numFmtId="1" fontId="1" fillId="37" borderId="0" xfId="44" applyNumberFormat="1" applyFont="1" applyFill="1" applyBorder="1" applyAlignment="1">
      <alignment horizontal="center"/>
    </xf>
    <xf numFmtId="1" fontId="1" fillId="37" borderId="0" xfId="0" applyNumberFormat="1" applyFont="1" applyFill="1" applyBorder="1" applyAlignment="1">
      <alignment horizontal="center"/>
    </xf>
    <xf numFmtId="0" fontId="1" fillId="37" borderId="0" xfId="0" applyFont="1" applyFill="1" applyAlignment="1">
      <alignment horizontal="right"/>
    </xf>
    <xf numFmtId="179" fontId="1" fillId="37" borderId="0" xfId="0" applyNumberFormat="1" applyFont="1" applyFill="1" applyBorder="1" applyAlignment="1">
      <alignment/>
    </xf>
    <xf numFmtId="170" fontId="1" fillId="37" borderId="0" xfId="44" applyNumberFormat="1" applyFont="1" applyFill="1" applyBorder="1" applyAlignment="1">
      <alignment/>
    </xf>
    <xf numFmtId="0" fontId="1" fillId="37" borderId="0" xfId="0" applyFont="1" applyFill="1" applyBorder="1" applyAlignment="1" quotePrefix="1">
      <alignment horizontal="left"/>
    </xf>
    <xf numFmtId="170" fontId="1" fillId="37" borderId="0" xfId="44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171" fontId="1" fillId="37" borderId="0" xfId="44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Alignment="1">
      <alignment horizontal="center"/>
    </xf>
    <xf numFmtId="0" fontId="2" fillId="37" borderId="0" xfId="0" applyFont="1" applyFill="1" applyBorder="1" applyAlignment="1">
      <alignment horizontal="center"/>
    </xf>
    <xf numFmtId="10" fontId="1" fillId="37" borderId="0" xfId="58" applyNumberFormat="1" applyFont="1" applyFill="1" applyBorder="1" applyAlignment="1">
      <alignment/>
    </xf>
    <xf numFmtId="0" fontId="0" fillId="36" borderId="11" xfId="0" applyFont="1" applyFill="1" applyBorder="1" applyAlignment="1" applyProtection="1">
      <alignment/>
      <protection hidden="1"/>
    </xf>
    <xf numFmtId="0" fontId="1" fillId="36" borderId="11" xfId="0" applyFont="1" applyFill="1" applyBorder="1" applyAlignment="1" applyProtection="1">
      <alignment horizontal="center"/>
      <protection hidden="1"/>
    </xf>
    <xf numFmtId="0" fontId="0" fillId="36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9" fillId="37" borderId="0" xfId="0" applyFont="1" applyFill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0" borderId="0" xfId="0" applyAlignment="1">
      <alignment horizontal="left"/>
    </xf>
    <xf numFmtId="0" fontId="0" fillId="38" borderId="0" xfId="0" applyFill="1" applyAlignment="1">
      <alignment/>
    </xf>
    <xf numFmtId="0" fontId="0" fillId="36" borderId="12" xfId="0" applyFont="1" applyFill="1" applyBorder="1" applyAlignment="1" applyProtection="1">
      <alignment/>
      <protection hidden="1"/>
    </xf>
    <xf numFmtId="0" fontId="0" fillId="36" borderId="13" xfId="0" applyFont="1" applyFill="1" applyBorder="1" applyAlignment="1" applyProtection="1">
      <alignment/>
      <protection hidden="1"/>
    </xf>
    <xf numFmtId="0" fontId="13" fillId="39" borderId="14" xfId="0" applyFont="1" applyFill="1" applyBorder="1" applyAlignment="1">
      <alignment horizontal="left"/>
    </xf>
    <xf numFmtId="179" fontId="76" fillId="39" borderId="15" xfId="44" applyNumberFormat="1" applyFont="1" applyFill="1" applyBorder="1" applyAlignment="1">
      <alignment horizontal="center"/>
    </xf>
    <xf numFmtId="1" fontId="76" fillId="39" borderId="16" xfId="44" applyNumberFormat="1" applyFont="1" applyFill="1" applyBorder="1" applyAlignment="1">
      <alignment horizontal="center"/>
    </xf>
    <xf numFmtId="185" fontId="77" fillId="40" borderId="17" xfId="60" applyFont="1" applyFill="1" applyBorder="1" applyAlignment="1" applyProtection="1">
      <alignment horizontal="right"/>
      <protection/>
    </xf>
    <xf numFmtId="185" fontId="77" fillId="40" borderId="18" xfId="60" applyFont="1" applyFill="1" applyBorder="1" applyAlignment="1" applyProtection="1">
      <alignment horizontal="center"/>
      <protection/>
    </xf>
    <xf numFmtId="185" fontId="77" fillId="40" borderId="19" xfId="60" applyFont="1" applyFill="1" applyBorder="1" applyProtection="1">
      <alignment horizontal="right"/>
      <protection/>
    </xf>
    <xf numFmtId="0" fontId="77" fillId="39" borderId="20" xfId="0" applyFont="1" applyFill="1" applyBorder="1" applyAlignment="1" applyProtection="1">
      <alignment horizontal="center"/>
      <protection hidden="1"/>
    </xf>
    <xf numFmtId="0" fontId="77" fillId="39" borderId="20" xfId="0" applyFont="1" applyFill="1" applyBorder="1" applyAlignment="1" applyProtection="1">
      <alignment horizontal="right"/>
      <protection hidden="1"/>
    </xf>
    <xf numFmtId="0" fontId="77" fillId="39" borderId="21" xfId="0" applyFont="1" applyFill="1" applyBorder="1" applyAlignment="1" applyProtection="1">
      <alignment horizontal="center"/>
      <protection hidden="1"/>
    </xf>
    <xf numFmtId="185" fontId="1" fillId="41" borderId="11" xfId="60" applyFont="1" applyFill="1" applyBorder="1" applyProtection="1">
      <alignment horizontal="right"/>
      <protection hidden="1"/>
    </xf>
    <xf numFmtId="179" fontId="1" fillId="42" borderId="20" xfId="53" applyNumberFormat="1" applyFont="1" applyFill="1" applyBorder="1" applyProtection="1">
      <alignment horizontal="right"/>
      <protection hidden="1"/>
    </xf>
    <xf numFmtId="179" fontId="1" fillId="42" borderId="21" xfId="53" applyNumberFormat="1" applyFont="1" applyFill="1" applyBorder="1" applyProtection="1">
      <alignment horizontal="right"/>
      <protection hidden="1"/>
    </xf>
    <xf numFmtId="185" fontId="0" fillId="43" borderId="22" xfId="60" applyFont="1" applyFill="1" applyBorder="1" applyProtection="1">
      <alignment horizontal="right"/>
      <protection hidden="1"/>
    </xf>
    <xf numFmtId="185" fontId="0" fillId="43" borderId="23" xfId="60" applyFont="1" applyFill="1" applyBorder="1" applyAlignment="1" applyProtection="1">
      <alignment horizontal="right"/>
      <protection hidden="1"/>
    </xf>
    <xf numFmtId="185" fontId="0" fillId="43" borderId="24" xfId="60" applyFont="1" applyFill="1" applyBorder="1" applyProtection="1">
      <alignment horizontal="right"/>
      <protection hidden="1"/>
    </xf>
    <xf numFmtId="170" fontId="0" fillId="43" borderId="24" xfId="44" applyFont="1" applyFill="1" applyBorder="1" applyAlignment="1" applyProtection="1">
      <alignment horizontal="right"/>
      <protection hidden="1"/>
    </xf>
    <xf numFmtId="9" fontId="0" fillId="43" borderId="24" xfId="58" applyFont="1" applyFill="1" applyBorder="1" applyAlignment="1" applyProtection="1">
      <alignment horizontal="right"/>
      <protection/>
    </xf>
    <xf numFmtId="9" fontId="0" fillId="43" borderId="24" xfId="58" applyFont="1" applyFill="1" applyBorder="1" applyAlignment="1" applyProtection="1">
      <alignment horizontal="right"/>
      <protection hidden="1"/>
    </xf>
    <xf numFmtId="185" fontId="0" fillId="43" borderId="25" xfId="60" applyFont="1" applyFill="1" applyBorder="1" applyProtection="1">
      <alignment horizontal="right"/>
      <protection hidden="1"/>
    </xf>
    <xf numFmtId="185" fontId="0" fillId="43" borderId="26" xfId="60" applyFont="1" applyFill="1" applyBorder="1" applyProtection="1">
      <alignment horizontal="right"/>
      <protection hidden="1"/>
    </xf>
    <xf numFmtId="185" fontId="0" fillId="41" borderId="27" xfId="60" applyFont="1" applyFill="1" applyBorder="1" applyProtection="1">
      <alignment horizontal="right"/>
      <protection hidden="1"/>
    </xf>
    <xf numFmtId="185" fontId="0" fillId="43" borderId="28" xfId="60" applyFont="1" applyFill="1" applyBorder="1" applyProtection="1">
      <alignment horizontal="right"/>
      <protection hidden="1"/>
    </xf>
    <xf numFmtId="185" fontId="1" fillId="43" borderId="29" xfId="60" applyFont="1" applyFill="1" applyBorder="1" applyProtection="1">
      <alignment horizontal="right"/>
      <protection hidden="1"/>
    </xf>
    <xf numFmtId="0" fontId="0" fillId="41" borderId="0" xfId="0" applyFont="1" applyFill="1" applyBorder="1" applyAlignment="1" applyProtection="1">
      <alignment/>
      <protection hidden="1"/>
    </xf>
    <xf numFmtId="0" fontId="0" fillId="41" borderId="0" xfId="0" applyFont="1" applyFill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9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165" fontId="0" fillId="44" borderId="30" xfId="0" applyNumberFormat="1" applyFont="1" applyFill="1" applyBorder="1" applyAlignment="1" applyProtection="1">
      <alignment/>
      <protection hidden="1"/>
    </xf>
    <xf numFmtId="0" fontId="3" fillId="37" borderId="0" xfId="0" applyFont="1" applyFill="1" applyBorder="1" applyAlignment="1">
      <alignment horizontal="left"/>
    </xf>
    <xf numFmtId="0" fontId="11" fillId="37" borderId="0" xfId="0" applyFont="1" applyFill="1" applyBorder="1" applyAlignment="1">
      <alignment horizontal="left"/>
    </xf>
    <xf numFmtId="0" fontId="0" fillId="10" borderId="14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0" fontId="0" fillId="10" borderId="31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32" xfId="0" applyFont="1" applyFill="1" applyBorder="1" applyAlignment="1">
      <alignment/>
    </xf>
    <xf numFmtId="0" fontId="0" fillId="10" borderId="31" xfId="0" applyFont="1" applyFill="1" applyBorder="1" applyAlignment="1">
      <alignment wrapText="1"/>
    </xf>
    <xf numFmtId="0" fontId="0" fillId="10" borderId="0" xfId="0" applyFont="1" applyFill="1" applyBorder="1" applyAlignment="1">
      <alignment wrapText="1"/>
    </xf>
    <xf numFmtId="0" fontId="0" fillId="10" borderId="32" xfId="0" applyFont="1" applyFill="1" applyBorder="1" applyAlignment="1">
      <alignment wrapText="1"/>
    </xf>
    <xf numFmtId="0" fontId="0" fillId="10" borderId="18" xfId="0" applyFont="1" applyFill="1" applyBorder="1" applyAlignment="1">
      <alignment/>
    </xf>
    <xf numFmtId="0" fontId="0" fillId="10" borderId="19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1" fillId="10" borderId="14" xfId="0" applyFont="1" applyFill="1" applyBorder="1" applyAlignment="1">
      <alignment horizontal="left"/>
    </xf>
    <xf numFmtId="10" fontId="1" fillId="10" borderId="15" xfId="58" applyNumberFormat="1" applyFont="1" applyFill="1" applyBorder="1" applyAlignment="1">
      <alignment horizontal="center"/>
    </xf>
    <xf numFmtId="191" fontId="1" fillId="10" borderId="16" xfId="44" applyNumberFormat="1" applyFont="1" applyFill="1" applyBorder="1" applyAlignment="1">
      <alignment horizontal="center"/>
    </xf>
    <xf numFmtId="0" fontId="1" fillId="10" borderId="31" xfId="0" applyFont="1" applyFill="1" applyBorder="1" applyAlignment="1">
      <alignment horizontal="left"/>
    </xf>
    <xf numFmtId="0" fontId="1" fillId="10" borderId="14" xfId="0" applyFont="1" applyFill="1" applyBorder="1" applyAlignment="1">
      <alignment horizontal="center"/>
    </xf>
    <xf numFmtId="0" fontId="1" fillId="10" borderId="15" xfId="0" applyFont="1" applyFill="1" applyBorder="1" applyAlignment="1">
      <alignment/>
    </xf>
    <xf numFmtId="182" fontId="1" fillId="10" borderId="16" xfId="58" applyNumberFormat="1" applyFont="1" applyFill="1" applyBorder="1" applyAlignment="1">
      <alignment horizontal="right"/>
    </xf>
    <xf numFmtId="165" fontId="6" fillId="45" borderId="31" xfId="59" applyFont="1" applyFill="1" applyBorder="1" applyAlignment="1" applyProtection="1">
      <alignment horizontal="center"/>
      <protection/>
    </xf>
    <xf numFmtId="165" fontId="6" fillId="45" borderId="0" xfId="59" applyFont="1" applyFill="1" applyBorder="1" applyProtection="1">
      <alignment/>
      <protection/>
    </xf>
    <xf numFmtId="182" fontId="6" fillId="45" borderId="32" xfId="59" applyNumberFormat="1" applyFont="1" applyFill="1" applyBorder="1" applyAlignment="1" applyProtection="1">
      <alignment horizontal="right"/>
      <protection/>
    </xf>
    <xf numFmtId="165" fontId="6" fillId="45" borderId="18" xfId="59" applyFont="1" applyFill="1" applyBorder="1" applyAlignment="1" applyProtection="1">
      <alignment horizontal="center"/>
      <protection/>
    </xf>
    <xf numFmtId="165" fontId="6" fillId="45" borderId="19" xfId="59" applyFont="1" applyFill="1" applyBorder="1" applyProtection="1">
      <alignment/>
      <protection/>
    </xf>
    <xf numFmtId="182" fontId="6" fillId="45" borderId="17" xfId="59" applyNumberFormat="1" applyFont="1" applyFill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hidden="1"/>
    </xf>
    <xf numFmtId="0" fontId="15" fillId="0" borderId="0" xfId="0" applyFont="1" applyFill="1" applyAlignment="1" quotePrefix="1">
      <alignment horizontal="center"/>
    </xf>
    <xf numFmtId="0" fontId="11" fillId="0" borderId="0" xfId="0" applyFont="1" applyFill="1" applyAlignment="1" applyProtection="1">
      <alignment vertical="top"/>
      <protection hidden="1"/>
    </xf>
    <xf numFmtId="0" fontId="11" fillId="0" borderId="0" xfId="0" applyFont="1" applyFill="1" applyAlignment="1" applyProtection="1">
      <alignment/>
      <protection hidden="1"/>
    </xf>
    <xf numFmtId="172" fontId="14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4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12" xfId="0" applyFont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 quotePrefix="1">
      <alignment horizontal="right"/>
      <protection hidden="1"/>
    </xf>
    <xf numFmtId="0" fontId="14" fillId="37" borderId="24" xfId="0" applyFont="1" applyFill="1" applyBorder="1" applyAlignment="1" applyProtection="1">
      <alignment/>
      <protection hidden="1"/>
    </xf>
    <xf numFmtId="0" fontId="14" fillId="6" borderId="24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1" fillId="38" borderId="0" xfId="0" applyFont="1" applyFill="1" applyAlignment="1" applyProtection="1">
      <alignment/>
      <protection hidden="1"/>
    </xf>
    <xf numFmtId="0" fontId="14" fillId="38" borderId="0" xfId="0" applyFont="1" applyFill="1" applyBorder="1" applyAlignment="1" applyProtection="1">
      <alignment/>
      <protection hidden="1"/>
    </xf>
    <xf numFmtId="0" fontId="78" fillId="0" borderId="0" xfId="0" applyFont="1" applyAlignment="1" applyProtection="1">
      <alignment/>
      <protection hidden="1"/>
    </xf>
    <xf numFmtId="179" fontId="14" fillId="0" borderId="0" xfId="0" applyNumberFormat="1" applyFont="1" applyAlignment="1" applyProtection="1">
      <alignment/>
      <protection hidden="1"/>
    </xf>
    <xf numFmtId="0" fontId="14" fillId="0" borderId="0" xfId="0" applyFont="1" applyAlignment="1" applyProtection="1" quotePrefix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179" fontId="14" fillId="37" borderId="24" xfId="44" applyNumberFormat="1" applyFont="1" applyFill="1" applyBorder="1" applyAlignment="1" applyProtection="1">
      <alignment/>
      <protection hidden="1"/>
    </xf>
    <xf numFmtId="179" fontId="14" fillId="37" borderId="33" xfId="44" applyNumberFormat="1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10" fontId="14" fillId="37" borderId="20" xfId="58" applyNumberFormat="1" applyFont="1" applyFill="1" applyBorder="1" applyAlignment="1" applyProtection="1">
      <alignment/>
      <protection hidden="1"/>
    </xf>
    <xf numFmtId="174" fontId="14" fillId="0" borderId="0" xfId="0" applyNumberFormat="1" applyFont="1" applyFill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 quotePrefix="1">
      <alignment horizontal="center" vertical="center" wrapText="1"/>
      <protection hidden="1"/>
    </xf>
    <xf numFmtId="168" fontId="14" fillId="37" borderId="24" xfId="44" applyNumberFormat="1" applyFont="1" applyFill="1" applyBorder="1" applyAlignment="1" applyProtection="1">
      <alignment/>
      <protection hidden="1"/>
    </xf>
    <xf numFmtId="0" fontId="14" fillId="0" borderId="24" xfId="0" applyFont="1" applyFill="1" applyBorder="1" applyAlignment="1" applyProtection="1">
      <alignment horizontal="center"/>
      <protection hidden="1"/>
    </xf>
    <xf numFmtId="179" fontId="14" fillId="37" borderId="20" xfId="0" applyNumberFormat="1" applyFont="1" applyFill="1" applyBorder="1" applyAlignment="1" applyProtection="1">
      <alignment/>
      <protection hidden="1"/>
    </xf>
    <xf numFmtId="179" fontId="14" fillId="37" borderId="34" xfId="0" applyNumberFormat="1" applyFont="1" applyFill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179" fontId="14" fillId="37" borderId="20" xfId="44" applyNumberFormat="1" applyFont="1" applyFill="1" applyBorder="1" applyAlignment="1" applyProtection="1">
      <alignment/>
      <protection hidden="1"/>
    </xf>
    <xf numFmtId="179" fontId="14" fillId="37" borderId="35" xfId="44" applyNumberFormat="1" applyFont="1" applyFill="1" applyBorder="1" applyAlignment="1" applyProtection="1">
      <alignment/>
      <protection hidden="1"/>
    </xf>
    <xf numFmtId="0" fontId="11" fillId="0" borderId="0" xfId="0" applyFont="1" applyAlignment="1" applyProtection="1" quotePrefix="1">
      <alignment horizontal="left"/>
      <protection hidden="1"/>
    </xf>
    <xf numFmtId="179" fontId="14" fillId="37" borderId="36" xfId="44" applyNumberFormat="1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 quotePrefix="1">
      <alignment horizontal="right"/>
      <protection hidden="1"/>
    </xf>
    <xf numFmtId="165" fontId="14" fillId="0" borderId="0" xfId="44" applyNumberFormat="1" applyFont="1" applyFill="1" applyBorder="1" applyAlignment="1" applyProtection="1">
      <alignment/>
      <protection hidden="1"/>
    </xf>
    <xf numFmtId="179" fontId="14" fillId="37" borderId="37" xfId="44" applyNumberFormat="1" applyFont="1" applyFill="1" applyBorder="1" applyAlignment="1" applyProtection="1">
      <alignment/>
      <protection hidden="1"/>
    </xf>
    <xf numFmtId="179" fontId="18" fillId="0" borderId="0" xfId="44" applyNumberFormat="1" applyFont="1" applyFill="1" applyBorder="1" applyAlignment="1" applyProtection="1">
      <alignment/>
      <protection hidden="1"/>
    </xf>
    <xf numFmtId="179" fontId="14" fillId="6" borderId="37" xfId="44" applyNumberFormat="1" applyFont="1" applyFill="1" applyBorder="1" applyAlignment="1" applyProtection="1">
      <alignment/>
      <protection hidden="1"/>
    </xf>
    <xf numFmtId="0" fontId="11" fillId="38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4" fillId="0" borderId="19" xfId="0" applyFont="1" applyBorder="1" applyAlignment="1" applyProtection="1">
      <alignment/>
      <protection hidden="1"/>
    </xf>
    <xf numFmtId="0" fontId="78" fillId="38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46" borderId="24" xfId="0" applyFont="1" applyFill="1" applyBorder="1" applyAlignment="1" applyProtection="1">
      <alignment/>
      <protection hidden="1"/>
    </xf>
    <xf numFmtId="179" fontId="14" fillId="46" borderId="24" xfId="44" applyNumberFormat="1" applyFont="1" applyFill="1" applyBorder="1" applyAlignment="1" applyProtection="1">
      <alignment/>
      <protection locked="0"/>
    </xf>
    <xf numFmtId="0" fontId="14" fillId="46" borderId="24" xfId="0" applyFont="1" applyFill="1" applyBorder="1" applyAlignment="1" applyProtection="1">
      <alignment horizontal="center"/>
      <protection locked="0"/>
    </xf>
    <xf numFmtId="179" fontId="14" fillId="46" borderId="33" xfId="44" applyNumberFormat="1" applyFont="1" applyFill="1" applyBorder="1" applyAlignment="1" applyProtection="1">
      <alignment/>
      <protection locked="0"/>
    </xf>
    <xf numFmtId="0" fontId="79" fillId="0" borderId="0" xfId="0" applyFont="1" applyAlignment="1" applyProtection="1">
      <alignment horizontal="left"/>
      <protection hidden="1"/>
    </xf>
    <xf numFmtId="170" fontId="14" fillId="46" borderId="24" xfId="44" applyFont="1" applyFill="1" applyBorder="1" applyAlignment="1" applyProtection="1">
      <alignment/>
      <protection locked="0"/>
    </xf>
    <xf numFmtId="0" fontId="80" fillId="0" borderId="0" xfId="0" applyFont="1" applyAlignment="1" applyProtection="1">
      <alignment/>
      <protection hidden="1"/>
    </xf>
    <xf numFmtId="0" fontId="80" fillId="0" borderId="0" xfId="0" applyFont="1" applyFill="1" applyBorder="1" applyAlignment="1" applyProtection="1">
      <alignment/>
      <protection hidden="1"/>
    </xf>
    <xf numFmtId="14" fontId="80" fillId="0" borderId="0" xfId="0" applyNumberFormat="1" applyFont="1" applyAlignment="1" applyProtection="1">
      <alignment/>
      <protection hidden="1"/>
    </xf>
    <xf numFmtId="0" fontId="80" fillId="0" borderId="0" xfId="0" applyFont="1" applyBorder="1" applyAlignment="1" applyProtection="1">
      <alignment/>
      <protection hidden="1"/>
    </xf>
    <xf numFmtId="0" fontId="80" fillId="0" borderId="0" xfId="0" applyFont="1" applyBorder="1" applyAlignment="1" applyProtection="1">
      <alignment horizontal="left"/>
      <protection hidden="1"/>
    </xf>
    <xf numFmtId="0" fontId="80" fillId="0" borderId="0" xfId="0" applyFont="1" applyAlignment="1" applyProtection="1">
      <alignment textRotation="255"/>
      <protection hidden="1"/>
    </xf>
    <xf numFmtId="0" fontId="80" fillId="37" borderId="0" xfId="0" applyFont="1" applyFill="1" applyAlignment="1" applyProtection="1">
      <alignment/>
      <protection hidden="1"/>
    </xf>
    <xf numFmtId="170" fontId="80" fillId="0" borderId="24" xfId="44" applyFont="1" applyBorder="1" applyAlignment="1" applyProtection="1">
      <alignment/>
      <protection hidden="1"/>
    </xf>
    <xf numFmtId="0" fontId="80" fillId="0" borderId="0" xfId="0" applyFont="1" applyFill="1" applyBorder="1" applyAlignment="1" applyProtection="1">
      <alignment horizontal="right"/>
      <protection hidden="1"/>
    </xf>
    <xf numFmtId="0" fontId="79" fillId="0" borderId="0" xfId="0" applyFont="1" applyAlignment="1" applyProtection="1">
      <alignment wrapText="1"/>
      <protection hidden="1"/>
    </xf>
    <xf numFmtId="0" fontId="14" fillId="0" borderId="24" xfId="0" applyFont="1" applyBorder="1" applyAlignment="1" applyProtection="1">
      <alignment horizontal="center"/>
      <protection hidden="1"/>
    </xf>
    <xf numFmtId="174" fontId="78" fillId="38" borderId="0" xfId="0" applyNumberFormat="1" applyFont="1" applyFill="1" applyAlignment="1" applyProtection="1">
      <alignment/>
      <protection hidden="1"/>
    </xf>
    <xf numFmtId="174" fontId="78" fillId="38" borderId="0" xfId="0" applyNumberFormat="1" applyFont="1" applyFill="1" applyAlignment="1" applyProtection="1">
      <alignment horizontal="right"/>
      <protection hidden="1"/>
    </xf>
    <xf numFmtId="168" fontId="14" fillId="0" borderId="24" xfId="0" applyNumberFormat="1" applyFont="1" applyBorder="1" applyAlignment="1" applyProtection="1">
      <alignment/>
      <protection hidden="1"/>
    </xf>
    <xf numFmtId="179" fontId="14" fillId="0" borderId="24" xfId="0" applyNumberFormat="1" applyFont="1" applyBorder="1" applyAlignment="1" applyProtection="1">
      <alignment/>
      <protection hidden="1"/>
    </xf>
    <xf numFmtId="179" fontId="14" fillId="37" borderId="0" xfId="0" applyNumberFormat="1" applyFont="1" applyFill="1" applyBorder="1" applyAlignment="1" applyProtection="1">
      <alignment/>
      <protection hidden="1"/>
    </xf>
    <xf numFmtId="179" fontId="14" fillId="37" borderId="24" xfId="0" applyNumberFormat="1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179" fontId="14" fillId="37" borderId="21" xfId="0" applyNumberFormat="1" applyFont="1" applyFill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179" fontId="19" fillId="46" borderId="24" xfId="44" applyNumberFormat="1" applyFont="1" applyFill="1" applyBorder="1" applyAlignment="1" applyProtection="1">
      <alignment/>
      <protection locked="0"/>
    </xf>
    <xf numFmtId="179" fontId="14" fillId="37" borderId="0" xfId="0" applyNumberFormat="1" applyFont="1" applyFill="1" applyBorder="1" applyAlignment="1" applyProtection="1">
      <alignment horizontal="center" vertical="center" wrapText="1"/>
      <protection hidden="1"/>
    </xf>
    <xf numFmtId="179" fontId="14" fillId="37" borderId="0" xfId="0" applyNumberFormat="1" applyFont="1" applyFill="1" applyBorder="1" applyAlignment="1" applyProtection="1">
      <alignment horizontal="center" vertical="center"/>
      <protection hidden="1"/>
    </xf>
    <xf numFmtId="0" fontId="78" fillId="37" borderId="0" xfId="0" applyFont="1" applyFill="1" applyAlignment="1" applyProtection="1">
      <alignment/>
      <protection hidden="1"/>
    </xf>
    <xf numFmtId="183" fontId="78" fillId="37" borderId="0" xfId="58" applyNumberFormat="1" applyFont="1" applyFill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locked="0"/>
    </xf>
    <xf numFmtId="179" fontId="80" fillId="0" borderId="24" xfId="44" applyNumberFormat="1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 applyProtection="1">
      <alignment/>
      <protection hidden="1"/>
    </xf>
    <xf numFmtId="0" fontId="0" fillId="0" borderId="38" xfId="0" applyBorder="1" applyAlignment="1">
      <alignment horizontal="left"/>
    </xf>
    <xf numFmtId="8" fontId="14" fillId="0" borderId="38" xfId="0" applyNumberFormat="1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181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8" fontId="14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>
      <alignment horizontal="right"/>
    </xf>
    <xf numFmtId="8" fontId="0" fillId="0" borderId="0" xfId="0" applyNumberFormat="1" applyBorder="1" applyAlignment="1">
      <alignment/>
    </xf>
    <xf numFmtId="0" fontId="1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8" fontId="14" fillId="0" borderId="24" xfId="0" applyNumberFormat="1" applyFont="1" applyBorder="1" applyAlignment="1" applyProtection="1">
      <alignment/>
      <protection hidden="1"/>
    </xf>
    <xf numFmtId="8" fontId="80" fillId="0" borderId="24" xfId="0" applyNumberFormat="1" applyFont="1" applyBorder="1" applyAlignment="1" applyProtection="1">
      <alignment/>
      <protection hidden="1"/>
    </xf>
    <xf numFmtId="0" fontId="0" fillId="46" borderId="24" xfId="0" applyFill="1" applyBorder="1" applyAlignment="1" applyProtection="1">
      <alignment horizontal="left"/>
      <protection locked="0"/>
    </xf>
    <xf numFmtId="0" fontId="81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 wrapText="1"/>
      <protection hidden="1"/>
    </xf>
    <xf numFmtId="181" fontId="1" fillId="0" borderId="0" xfId="42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79" fontId="0" fillId="46" borderId="24" xfId="44" applyNumberFormat="1" applyFont="1" applyFill="1" applyBorder="1" applyAlignment="1" applyProtection="1">
      <alignment/>
      <protection locked="0"/>
    </xf>
    <xf numFmtId="179" fontId="0" fillId="0" borderId="38" xfId="44" applyNumberFormat="1" applyFont="1" applyBorder="1" applyAlignment="1">
      <alignment/>
    </xf>
    <xf numFmtId="179" fontId="0" fillId="46" borderId="24" xfId="44" applyNumberFormat="1" applyFont="1" applyFill="1" applyBorder="1" applyAlignment="1" applyProtection="1">
      <alignment/>
      <protection locked="0"/>
    </xf>
    <xf numFmtId="179" fontId="0" fillId="0" borderId="24" xfId="44" applyNumberFormat="1" applyFont="1" applyBorder="1" applyAlignment="1">
      <alignment/>
    </xf>
    <xf numFmtId="179" fontId="0" fillId="46" borderId="24" xfId="44" applyNumberFormat="1" applyFont="1" applyFill="1" applyBorder="1" applyAlignment="1" applyProtection="1">
      <alignment/>
      <protection locked="0"/>
    </xf>
    <xf numFmtId="0" fontId="21" fillId="38" borderId="0" xfId="0" applyFont="1" applyFill="1" applyBorder="1" applyAlignment="1" applyProtection="1">
      <alignment wrapText="1"/>
      <protection hidden="1"/>
    </xf>
    <xf numFmtId="179" fontId="14" fillId="6" borderId="24" xfId="44" applyNumberFormat="1" applyFont="1" applyFill="1" applyBorder="1" applyAlignment="1" applyProtection="1">
      <alignment/>
      <protection hidden="1"/>
    </xf>
    <xf numFmtId="179" fontId="14" fillId="6" borderId="33" xfId="44" applyNumberFormat="1" applyFont="1" applyFill="1" applyBorder="1" applyAlignment="1" applyProtection="1">
      <alignment/>
      <protection hidden="1"/>
    </xf>
    <xf numFmtId="179" fontId="14" fillId="37" borderId="39" xfId="0" applyNumberFormat="1" applyFont="1" applyFill="1" applyBorder="1" applyAlignment="1" applyProtection="1">
      <alignment/>
      <protection hidden="1"/>
    </xf>
    <xf numFmtId="179" fontId="14" fillId="46" borderId="22" xfId="44" applyNumberFormat="1" applyFont="1" applyFill="1" applyBorder="1" applyAlignment="1" applyProtection="1">
      <alignment/>
      <protection locked="0"/>
    </xf>
    <xf numFmtId="179" fontId="14" fillId="46" borderId="14" xfId="44" applyNumberFormat="1" applyFont="1" applyFill="1" applyBorder="1" applyAlignment="1" applyProtection="1">
      <alignment/>
      <protection locked="0"/>
    </xf>
    <xf numFmtId="179" fontId="14" fillId="37" borderId="25" xfId="44" applyNumberFormat="1" applyFont="1" applyFill="1" applyBorder="1" applyAlignment="1" applyProtection="1">
      <alignment/>
      <protection hidden="1"/>
    </xf>
    <xf numFmtId="0" fontId="14" fillId="0" borderId="40" xfId="0" applyFont="1" applyBorder="1" applyAlignment="1" applyProtection="1">
      <alignment/>
      <protection hidden="1"/>
    </xf>
    <xf numFmtId="0" fontId="14" fillId="0" borderId="41" xfId="0" applyFont="1" applyBorder="1" applyAlignment="1" applyProtection="1">
      <alignment/>
      <protection hidden="1"/>
    </xf>
    <xf numFmtId="0" fontId="14" fillId="0" borderId="35" xfId="0" applyFont="1" applyBorder="1" applyAlignment="1" applyProtection="1">
      <alignment/>
      <protection hidden="1"/>
    </xf>
    <xf numFmtId="170" fontId="14" fillId="38" borderId="24" xfId="44" applyFont="1" applyFill="1" applyBorder="1" applyAlignment="1" applyProtection="1">
      <alignment/>
      <protection hidden="1"/>
    </xf>
    <xf numFmtId="0" fontId="0" fillId="38" borderId="0" xfId="0" applyFont="1" applyFill="1" applyAlignment="1">
      <alignment/>
    </xf>
    <xf numFmtId="0" fontId="14" fillId="0" borderId="0" xfId="0" applyFont="1" applyAlignment="1" applyProtection="1">
      <alignment horizontal="center" wrapText="1"/>
      <protection hidden="1"/>
    </xf>
    <xf numFmtId="170" fontId="2" fillId="37" borderId="0" xfId="44" applyNumberFormat="1" applyFont="1" applyFill="1" applyBorder="1" applyAlignment="1">
      <alignment horizontal="left"/>
    </xf>
    <xf numFmtId="170" fontId="2" fillId="37" borderId="0" xfId="0" applyNumberFormat="1" applyFont="1" applyFill="1" applyAlignment="1">
      <alignment horizontal="left"/>
    </xf>
    <xf numFmtId="0" fontId="14" fillId="0" borderId="0" xfId="0" applyFont="1" applyAlignment="1">
      <alignment vertical="justify"/>
    </xf>
    <xf numFmtId="0" fontId="1" fillId="38" borderId="0" xfId="0" applyFont="1" applyFill="1" applyAlignment="1">
      <alignment/>
    </xf>
    <xf numFmtId="0" fontId="0" fillId="0" borderId="0" xfId="0" applyFont="1" applyAlignment="1">
      <alignment/>
    </xf>
    <xf numFmtId="0" fontId="82" fillId="0" borderId="0" xfId="0" applyFont="1" applyAlignment="1" applyProtection="1">
      <alignment/>
      <protection hidden="1"/>
    </xf>
    <xf numFmtId="0" fontId="82" fillId="37" borderId="0" xfId="0" applyFont="1" applyFill="1" applyAlignment="1" applyProtection="1">
      <alignment/>
      <protection hidden="1"/>
    </xf>
    <xf numFmtId="0" fontId="14" fillId="37" borderId="0" xfId="0" applyFont="1" applyFill="1" applyAlignment="1" applyProtection="1">
      <alignment/>
      <protection hidden="1"/>
    </xf>
    <xf numFmtId="170" fontId="14" fillId="37" borderId="24" xfId="0" applyNumberFormat="1" applyFont="1" applyFill="1" applyBorder="1" applyAlignment="1" applyProtection="1">
      <alignment/>
      <protection hidden="1"/>
    </xf>
    <xf numFmtId="170" fontId="14" fillId="38" borderId="24" xfId="44" applyNumberFormat="1" applyFont="1" applyFill="1" applyBorder="1" applyAlignment="1" applyProtection="1">
      <alignment/>
      <protection hidden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79" fontId="80" fillId="0" borderId="0" xfId="0" applyNumberFormat="1" applyFont="1" applyAlignment="1" applyProtection="1">
      <alignment/>
      <protection hidden="1"/>
    </xf>
    <xf numFmtId="0" fontId="83" fillId="38" borderId="0" xfId="0" applyFont="1" applyFill="1" applyBorder="1" applyAlignment="1" applyProtection="1">
      <alignment wrapText="1"/>
      <protection hidden="1"/>
    </xf>
    <xf numFmtId="0" fontId="84" fillId="0" borderId="0" xfId="0" applyFont="1" applyAlignment="1">
      <alignment/>
    </xf>
    <xf numFmtId="0" fontId="82" fillId="0" borderId="0" xfId="0" applyFont="1" applyAlignment="1" applyProtection="1">
      <alignment horizontal="center" vertical="center" wrapText="1"/>
      <protection hidden="1"/>
    </xf>
    <xf numFmtId="0" fontId="84" fillId="0" borderId="0" xfId="0" applyFont="1" applyAlignment="1" applyProtection="1">
      <alignment/>
      <protection hidden="1"/>
    </xf>
    <xf numFmtId="181" fontId="2" fillId="0" borderId="0" xfId="42" applyNumberFormat="1" applyFont="1" applyBorder="1" applyAlignment="1">
      <alignment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85" fillId="0" borderId="0" xfId="0" applyFont="1" applyAlignment="1">
      <alignment horizontal="center" vertical="center"/>
    </xf>
    <xf numFmtId="181" fontId="86" fillId="0" borderId="0" xfId="42" applyNumberFormat="1" applyFont="1" applyBorder="1" applyAlignment="1">
      <alignment/>
    </xf>
    <xf numFmtId="185" fontId="77" fillId="41" borderId="0" xfId="60" applyFont="1" applyFill="1" applyBorder="1" applyAlignment="1" applyProtection="1">
      <alignment horizontal="center"/>
      <protection/>
    </xf>
    <xf numFmtId="185" fontId="77" fillId="41" borderId="0" xfId="60" applyFont="1" applyFill="1" applyBorder="1" applyProtection="1">
      <alignment horizontal="right"/>
      <protection/>
    </xf>
    <xf numFmtId="0" fontId="77" fillId="38" borderId="0" xfId="0" applyFont="1" applyFill="1" applyBorder="1" applyAlignment="1">
      <alignment/>
    </xf>
    <xf numFmtId="0" fontId="87" fillId="41" borderId="0" xfId="0" applyFont="1" applyFill="1" applyBorder="1" applyAlignment="1" applyProtection="1">
      <alignment/>
      <protection/>
    </xf>
    <xf numFmtId="165" fontId="77" fillId="42" borderId="0" xfId="59" applyFont="1" applyFill="1" applyBorder="1" applyProtection="1">
      <alignment/>
      <protection/>
    </xf>
    <xf numFmtId="0" fontId="77" fillId="39" borderId="13" xfId="0" applyFont="1" applyFill="1" applyBorder="1" applyAlignment="1" applyProtection="1">
      <alignment horizontal="center"/>
      <protection hidden="1"/>
    </xf>
    <xf numFmtId="185" fontId="77" fillId="41" borderId="0" xfId="60" applyFont="1" applyFill="1" applyBorder="1" applyAlignment="1" applyProtection="1">
      <alignment horizontal="right"/>
      <protection/>
    </xf>
    <xf numFmtId="0" fontId="77" fillId="38" borderId="0" xfId="0" applyFont="1" applyFill="1" applyBorder="1" applyAlignment="1">
      <alignment horizontal="center"/>
    </xf>
    <xf numFmtId="9" fontId="77" fillId="38" borderId="0" xfId="58" applyFont="1" applyFill="1" applyBorder="1" applyAlignment="1">
      <alignment horizontal="right"/>
    </xf>
    <xf numFmtId="165" fontId="77" fillId="42" borderId="0" xfId="59" applyFont="1" applyFill="1" applyBorder="1" applyAlignment="1" applyProtection="1">
      <alignment horizontal="center"/>
      <protection/>
    </xf>
    <xf numFmtId="182" fontId="77" fillId="42" borderId="0" xfId="59" applyNumberFormat="1" applyFont="1" applyFill="1" applyBorder="1" applyAlignment="1" applyProtection="1">
      <alignment horizontal="right"/>
      <protection/>
    </xf>
    <xf numFmtId="0" fontId="8" fillId="37" borderId="0" xfId="0" applyFont="1" applyFill="1" applyBorder="1" applyAlignment="1">
      <alignment/>
    </xf>
    <xf numFmtId="0" fontId="84" fillId="38" borderId="0" xfId="0" applyFont="1" applyFill="1" applyAlignment="1" applyProtection="1">
      <alignment/>
      <protection hidden="1"/>
    </xf>
    <xf numFmtId="0" fontId="14" fillId="38" borderId="0" xfId="0" applyFont="1" applyFill="1" applyAlignment="1" applyProtection="1">
      <alignment/>
      <protection hidden="1"/>
    </xf>
    <xf numFmtId="0" fontId="14" fillId="38" borderId="0" xfId="0" applyFont="1" applyFill="1" applyAlignment="1" applyProtection="1" quotePrefix="1">
      <alignment horizontal="center" vertical="center" wrapText="1"/>
      <protection hidden="1"/>
    </xf>
    <xf numFmtId="10" fontId="11" fillId="46" borderId="24" xfId="0" applyNumberFormat="1" applyFont="1" applyFill="1" applyBorder="1" applyAlignment="1" applyProtection="1">
      <alignment horizontal="center"/>
      <protection locked="0"/>
    </xf>
    <xf numFmtId="10" fontId="14" fillId="46" borderId="24" xfId="0" applyNumberFormat="1" applyFont="1" applyFill="1" applyBorder="1" applyAlignment="1" applyProtection="1">
      <alignment horizontal="center"/>
      <protection locked="0"/>
    </xf>
    <xf numFmtId="10" fontId="14" fillId="37" borderId="24" xfId="0" applyNumberFormat="1" applyFont="1" applyFill="1" applyBorder="1" applyAlignment="1" applyProtection="1">
      <alignment horizontal="center"/>
      <protection hidden="1"/>
    </xf>
    <xf numFmtId="0" fontId="80" fillId="46" borderId="24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>
      <alignment horizontal="center"/>
    </xf>
    <xf numFmtId="2" fontId="0" fillId="37" borderId="0" xfId="44" applyNumberFormat="1" applyFont="1" applyFill="1" applyBorder="1" applyAlignment="1">
      <alignment horizontal="center"/>
    </xf>
    <xf numFmtId="2" fontId="0" fillId="38" borderId="0" xfId="0" applyNumberFormat="1" applyFont="1" applyFill="1" applyAlignment="1">
      <alignment horizontal="center"/>
    </xf>
    <xf numFmtId="2" fontId="0" fillId="37" borderId="0" xfId="0" applyNumberFormat="1" applyFont="1" applyFill="1" applyBorder="1" applyAlignment="1">
      <alignment horizontal="center"/>
    </xf>
    <xf numFmtId="0" fontId="88" fillId="0" borderId="0" xfId="0" applyFont="1" applyBorder="1" applyAlignment="1" applyProtection="1">
      <alignment horizontal="right"/>
      <protection hidden="1"/>
    </xf>
    <xf numFmtId="6" fontId="88" fillId="0" borderId="0" xfId="0" applyNumberFormat="1" applyFont="1" applyAlignment="1" applyProtection="1">
      <alignment horizontal="left"/>
      <protection hidden="1"/>
    </xf>
    <xf numFmtId="0" fontId="89" fillId="0" borderId="0" xfId="0" applyFont="1" applyAlignment="1" applyProtection="1" quotePrefix="1">
      <alignment horizontal="left"/>
      <protection hidden="1"/>
    </xf>
    <xf numFmtId="179" fontId="14" fillId="37" borderId="40" xfId="44" applyNumberFormat="1" applyFont="1" applyFill="1" applyBorder="1" applyAlignment="1" applyProtection="1">
      <alignment/>
      <protection hidden="1"/>
    </xf>
    <xf numFmtId="6" fontId="90" fillId="0" borderId="0" xfId="0" applyNumberFormat="1" applyFont="1" applyBorder="1" applyAlignment="1" applyProtection="1">
      <alignment horizontal="center"/>
      <protection hidden="1"/>
    </xf>
    <xf numFmtId="0" fontId="90" fillId="0" borderId="0" xfId="0" applyFont="1" applyAlignment="1" applyProtection="1">
      <alignment horizontal="right"/>
      <protection hidden="1"/>
    </xf>
    <xf numFmtId="0" fontId="90" fillId="0" borderId="0" xfId="0" applyFont="1" applyAlignment="1" applyProtection="1" quotePrefix="1">
      <alignment horizontal="right"/>
      <protection hidden="1"/>
    </xf>
    <xf numFmtId="2" fontId="89" fillId="0" borderId="0" xfId="0" applyNumberFormat="1" applyFont="1" applyAlignment="1" applyProtection="1">
      <alignment horizontal="left"/>
      <protection hidden="1"/>
    </xf>
    <xf numFmtId="0" fontId="89" fillId="0" borderId="0" xfId="0" applyFont="1" applyBorder="1" applyAlignment="1" applyProtection="1">
      <alignment vertical="center"/>
      <protection hidden="1"/>
    </xf>
    <xf numFmtId="39" fontId="14" fillId="37" borderId="20" xfId="44" applyNumberFormat="1" applyFont="1" applyFill="1" applyBorder="1" applyAlignment="1" applyProtection="1">
      <alignment horizontal="right"/>
      <protection hidden="1"/>
    </xf>
    <xf numFmtId="0" fontId="11" fillId="0" borderId="0" xfId="0" applyFont="1" applyAlignment="1" applyProtection="1">
      <alignment vertical="center"/>
      <protection hidden="1"/>
    </xf>
    <xf numFmtId="2" fontId="78" fillId="0" borderId="0" xfId="0" applyNumberFormat="1" applyFont="1" applyBorder="1" applyAlignment="1" applyProtection="1" quotePrefix="1">
      <alignment horizontal="right"/>
      <protection hidden="1"/>
    </xf>
    <xf numFmtId="0" fontId="27" fillId="0" borderId="0" xfId="0" applyFont="1" applyAlignment="1" applyProtection="1">
      <alignment horizontal="left"/>
      <protection hidden="1"/>
    </xf>
    <xf numFmtId="1" fontId="13" fillId="0" borderId="0" xfId="42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0" fontId="1" fillId="0" borderId="0" xfId="58" applyNumberFormat="1" applyFont="1" applyFill="1" applyBorder="1" applyAlignment="1">
      <alignment horizontal="center"/>
    </xf>
    <xf numFmtId="191" fontId="1" fillId="0" borderId="0" xfId="44" applyNumberFormat="1" applyFont="1" applyFill="1" applyBorder="1" applyAlignment="1">
      <alignment horizontal="center"/>
    </xf>
    <xf numFmtId="0" fontId="1" fillId="10" borderId="18" xfId="0" applyFont="1" applyFill="1" applyBorder="1" applyAlignment="1">
      <alignment horizontal="left"/>
    </xf>
    <xf numFmtId="10" fontId="1" fillId="10" borderId="38" xfId="58" applyNumberFormat="1" applyFont="1" applyFill="1" applyBorder="1" applyAlignment="1">
      <alignment horizontal="center"/>
    </xf>
    <xf numFmtId="191" fontId="1" fillId="10" borderId="25" xfId="44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/>
    </xf>
    <xf numFmtId="0" fontId="14" fillId="46" borderId="14" xfId="0" applyFont="1" applyFill="1" applyBorder="1" applyAlignment="1" applyProtection="1">
      <alignment vertical="top" wrapText="1"/>
      <protection locked="0"/>
    </xf>
    <xf numFmtId="0" fontId="14" fillId="46" borderId="15" xfId="0" applyFont="1" applyFill="1" applyBorder="1" applyAlignment="1" applyProtection="1">
      <alignment vertical="top" wrapText="1"/>
      <protection locked="0"/>
    </xf>
    <xf numFmtId="0" fontId="14" fillId="46" borderId="16" xfId="0" applyFont="1" applyFill="1" applyBorder="1" applyAlignment="1" applyProtection="1">
      <alignment vertical="top" wrapText="1"/>
      <protection locked="0"/>
    </xf>
    <xf numFmtId="0" fontId="14" fillId="46" borderId="31" xfId="0" applyFont="1" applyFill="1" applyBorder="1" applyAlignment="1" applyProtection="1">
      <alignment vertical="top" wrapText="1"/>
      <protection locked="0"/>
    </xf>
    <xf numFmtId="0" fontId="14" fillId="46" borderId="0" xfId="0" applyFont="1" applyFill="1" applyBorder="1" applyAlignment="1" applyProtection="1">
      <alignment vertical="top" wrapText="1"/>
      <protection locked="0"/>
    </xf>
    <xf numFmtId="0" fontId="14" fillId="46" borderId="32" xfId="0" applyFont="1" applyFill="1" applyBorder="1" applyAlignment="1" applyProtection="1">
      <alignment vertical="top" wrapText="1"/>
      <protection locked="0"/>
    </xf>
    <xf numFmtId="0" fontId="14" fillId="46" borderId="18" xfId="0" applyFont="1" applyFill="1" applyBorder="1" applyAlignment="1" applyProtection="1">
      <alignment vertical="top" wrapText="1"/>
      <protection locked="0"/>
    </xf>
    <xf numFmtId="0" fontId="14" fillId="46" borderId="19" xfId="0" applyFont="1" applyFill="1" applyBorder="1" applyAlignment="1" applyProtection="1">
      <alignment vertical="top" wrapText="1"/>
      <protection locked="0"/>
    </xf>
    <xf numFmtId="0" fontId="14" fillId="46" borderId="17" xfId="0" applyFont="1" applyFill="1" applyBorder="1" applyAlignment="1" applyProtection="1">
      <alignment vertical="top" wrapText="1"/>
      <protection locked="0"/>
    </xf>
    <xf numFmtId="0" fontId="14" fillId="46" borderId="22" xfId="0" applyFont="1" applyFill="1" applyBorder="1" applyAlignment="1" applyProtection="1">
      <alignment horizontal="center"/>
      <protection locked="0"/>
    </xf>
    <xf numFmtId="0" fontId="14" fillId="46" borderId="25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justify" wrapText="1"/>
      <protection hidden="1"/>
    </xf>
    <xf numFmtId="0" fontId="14" fillId="0" borderId="0" xfId="0" applyFont="1" applyAlignment="1">
      <alignment horizontal="left" vertical="justify"/>
    </xf>
    <xf numFmtId="0" fontId="79" fillId="0" borderId="0" xfId="0" applyFont="1" applyAlignment="1" applyProtection="1">
      <alignment horizontal="left" wrapText="1"/>
      <protection hidden="1"/>
    </xf>
    <xf numFmtId="0" fontId="11" fillId="0" borderId="15" xfId="0" applyFont="1" applyBorder="1" applyAlignment="1" applyProtection="1">
      <alignment wrapText="1"/>
      <protection hidden="1"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justify" wrapText="1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32" xfId="0" applyFont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14" fillId="0" borderId="0" xfId="0" applyFont="1" applyAlignment="1">
      <alignment wrapText="1"/>
    </xf>
    <xf numFmtId="0" fontId="19" fillId="0" borderId="0" xfId="0" applyFont="1" applyAlignment="1" applyProtection="1">
      <alignment horizontal="left" wrapText="1"/>
      <protection hidden="1"/>
    </xf>
    <xf numFmtId="0" fontId="11" fillId="0" borderId="49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50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51" xfId="0" applyFont="1" applyBorder="1" applyAlignment="1" applyProtection="1">
      <alignment horizontal="center" vertical="center" wrapText="1"/>
      <protection hidden="1"/>
    </xf>
    <xf numFmtId="0" fontId="11" fillId="0" borderId="52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181" fontId="86" fillId="0" borderId="31" xfId="42" applyNumberFormat="1" applyFont="1" applyBorder="1" applyAlignment="1">
      <alignment horizontal="left" wrapText="1"/>
    </xf>
    <xf numFmtId="181" fontId="86" fillId="0" borderId="0" xfId="42" applyNumberFormat="1" applyFont="1" applyBorder="1" applyAlignment="1">
      <alignment horizontal="left" wrapText="1"/>
    </xf>
    <xf numFmtId="0" fontId="22" fillId="38" borderId="0" xfId="0" applyFont="1" applyFill="1" applyBorder="1" applyAlignment="1" applyProtection="1">
      <alignment horizontal="center" wrapText="1"/>
      <protection hidden="1"/>
    </xf>
    <xf numFmtId="0" fontId="14" fillId="0" borderId="0" xfId="0" applyFont="1" applyAlignment="1" applyProtection="1">
      <alignment horizontal="center" vertical="justify" wrapText="1"/>
      <protection hidden="1"/>
    </xf>
    <xf numFmtId="0" fontId="91" fillId="41" borderId="0" xfId="0" applyFont="1" applyFill="1" applyBorder="1" applyAlignment="1" applyProtection="1">
      <alignment horizontal="center" vertical="center"/>
      <protection/>
    </xf>
    <xf numFmtId="0" fontId="11" fillId="36" borderId="22" xfId="0" applyFont="1" applyFill="1" applyBorder="1" applyAlignment="1" applyProtection="1">
      <alignment horizontal="center" vertical="center"/>
      <protection/>
    </xf>
    <xf numFmtId="0" fontId="11" fillId="36" borderId="38" xfId="0" applyFont="1" applyFill="1" applyBorder="1" applyAlignment="1" applyProtection="1">
      <alignment horizontal="center" vertical="center"/>
      <protection/>
    </xf>
    <xf numFmtId="0" fontId="11" fillId="36" borderId="25" xfId="0" applyFont="1" applyFill="1" applyBorder="1" applyAlignment="1" applyProtection="1">
      <alignment horizontal="center" vertical="center"/>
      <protection/>
    </xf>
    <xf numFmtId="0" fontId="11" fillId="37" borderId="22" xfId="0" applyFont="1" applyFill="1" applyBorder="1" applyAlignment="1">
      <alignment horizontal="center"/>
    </xf>
    <xf numFmtId="0" fontId="11" fillId="37" borderId="38" xfId="0" applyFont="1" applyFill="1" applyBorder="1" applyAlignment="1">
      <alignment horizontal="center"/>
    </xf>
    <xf numFmtId="0" fontId="11" fillId="37" borderId="25" xfId="0" applyFont="1" applyFill="1" applyBorder="1" applyAlignment="1">
      <alignment horizontal="center"/>
    </xf>
    <xf numFmtId="0" fontId="0" fillId="10" borderId="31" xfId="0" applyFont="1" applyFill="1" applyBorder="1" applyAlignment="1">
      <alignment wrapText="1"/>
    </xf>
    <xf numFmtId="0" fontId="0" fillId="10" borderId="0" xfId="0" applyFont="1" applyFill="1" applyBorder="1" applyAlignment="1">
      <alignment wrapText="1"/>
    </xf>
    <xf numFmtId="0" fontId="0" fillId="10" borderId="32" xfId="0" applyFont="1" applyFill="1" applyBorder="1" applyAlignment="1">
      <alignment wrapText="1"/>
    </xf>
    <xf numFmtId="0" fontId="12" fillId="10" borderId="31" xfId="0" applyFont="1" applyFill="1" applyBorder="1" applyAlignment="1">
      <alignment horizontal="center" wrapText="1"/>
    </xf>
    <xf numFmtId="0" fontId="0" fillId="10" borderId="0" xfId="0" applyFont="1" applyFill="1" applyBorder="1" applyAlignment="1">
      <alignment horizontal="center" wrapText="1"/>
    </xf>
    <xf numFmtId="0" fontId="0" fillId="10" borderId="32" xfId="0" applyFont="1" applyFill="1" applyBorder="1" applyAlignment="1">
      <alignment horizontal="center" wrapText="1"/>
    </xf>
    <xf numFmtId="0" fontId="0" fillId="10" borderId="31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Input Data" xfId="53"/>
    <cellStyle name="Linked Cell" xfId="54"/>
    <cellStyle name="Neutral" xfId="55"/>
    <cellStyle name="Note" xfId="56"/>
    <cellStyle name="Output" xfId="57"/>
    <cellStyle name="Percent" xfId="58"/>
    <cellStyle name="Table" xfId="59"/>
    <cellStyle name="Tex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819150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39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AA123"/>
  <sheetViews>
    <sheetView showGridLines="0" tabSelected="1" zoomScale="85" zoomScaleNormal="85" zoomScalePageLayoutView="70" workbookViewId="0" topLeftCell="A1">
      <selection activeCell="C18" sqref="C18"/>
    </sheetView>
  </sheetViews>
  <sheetFormatPr defaultColWidth="9.140625" defaultRowHeight="12.75"/>
  <cols>
    <col min="1" max="1" width="31.8515625" style="100" customWidth="1"/>
    <col min="2" max="2" width="9.28125" style="100" customWidth="1"/>
    <col min="3" max="3" width="23.421875" style="100" customWidth="1"/>
    <col min="4" max="5" width="18.8515625" style="100" customWidth="1"/>
    <col min="6" max="6" width="25.140625" style="100" customWidth="1"/>
    <col min="7" max="7" width="19.140625" style="100" customWidth="1"/>
    <col min="8" max="8" width="15.7109375" style="100" customWidth="1"/>
    <col min="9" max="9" width="21.00390625" style="100" customWidth="1"/>
    <col min="10" max="15" width="18.28125" style="159" hidden="1" customWidth="1"/>
    <col min="16" max="17" width="8.7109375" style="159" hidden="1" customWidth="1"/>
    <col min="18" max="18" width="10.28125" style="159" hidden="1" customWidth="1"/>
    <col min="19" max="19" width="30.7109375" style="159" hidden="1" customWidth="1"/>
    <col min="20" max="20" width="45.140625" style="159" hidden="1" customWidth="1"/>
    <col min="21" max="21" width="42.140625" style="159" customWidth="1"/>
    <col min="22" max="22" width="60.421875" style="159" customWidth="1"/>
    <col min="23" max="23" width="34.140625" style="159" customWidth="1"/>
    <col min="24" max="24" width="41.140625" style="159" customWidth="1"/>
    <col min="25" max="25" width="24.421875" style="159" customWidth="1"/>
    <col min="26" max="26" width="57.7109375" style="159" customWidth="1"/>
    <col min="27" max="28" width="9.140625" style="100" customWidth="1"/>
    <col min="29" max="16384" width="9.140625" style="100" customWidth="1"/>
  </cols>
  <sheetData>
    <row r="1" ht="66.75" customHeight="1"/>
    <row r="2" ht="27.75" customHeight="1" hidden="1"/>
    <row r="3" ht="13.5">
      <c r="C3" s="101"/>
    </row>
    <row r="4" spans="1:9" ht="14.25" customHeight="1">
      <c r="A4" s="102" t="s">
        <v>0</v>
      </c>
      <c r="B4" s="103"/>
      <c r="H4" s="104" t="s">
        <v>80</v>
      </c>
      <c r="I4" s="104">
        <f ca="1">NOW()</f>
        <v>44525.57720798611</v>
      </c>
    </row>
    <row r="5" spans="1:3" ht="12" customHeight="1">
      <c r="A5" s="105" t="s">
        <v>190</v>
      </c>
      <c r="B5" s="106"/>
      <c r="C5" s="150"/>
    </row>
    <row r="6" spans="1:11" ht="3.75" customHeight="1" thickBot="1">
      <c r="A6" s="108"/>
      <c r="B6" s="108"/>
      <c r="C6" s="108"/>
      <c r="D6" s="108"/>
      <c r="E6" s="108"/>
      <c r="F6" s="108"/>
      <c r="G6" s="108"/>
      <c r="H6" s="108"/>
      <c r="I6" s="108"/>
      <c r="J6" s="160"/>
      <c r="K6" s="160"/>
    </row>
    <row r="7" ht="7.5" customHeight="1"/>
    <row r="8" spans="1:12" ht="13.5">
      <c r="A8" s="110" t="s">
        <v>1</v>
      </c>
      <c r="B8" s="110"/>
      <c r="C8" s="305"/>
      <c r="D8" s="306"/>
      <c r="E8" s="109"/>
      <c r="I8" s="109"/>
      <c r="L8" s="161"/>
    </row>
    <row r="9" spans="7:8" ht="13.5">
      <c r="G9" s="313" t="s">
        <v>17</v>
      </c>
      <c r="H9" s="314"/>
    </row>
    <row r="10" spans="1:9" ht="13.5">
      <c r="A10" s="151" t="s">
        <v>82</v>
      </c>
      <c r="B10" s="150"/>
      <c r="C10" s="150"/>
      <c r="D10" s="150"/>
      <c r="E10" s="150"/>
      <c r="H10" s="112" t="s">
        <v>158</v>
      </c>
      <c r="I10" s="153"/>
    </row>
    <row r="11" spans="1:9" ht="12.75" customHeight="1">
      <c r="A11" s="151" t="s">
        <v>83</v>
      </c>
      <c r="B11" s="150"/>
      <c r="C11" s="150"/>
      <c r="D11" s="150"/>
      <c r="E11" s="152"/>
      <c r="F11" s="109"/>
      <c r="H11" s="113" t="s">
        <v>61</v>
      </c>
      <c r="I11" s="114"/>
    </row>
    <row r="12" spans="1:9" ht="13.5">
      <c r="A12" s="151" t="s">
        <v>84</v>
      </c>
      <c r="B12" s="150"/>
      <c r="C12" s="150"/>
      <c r="D12" s="150"/>
      <c r="E12" s="152"/>
      <c r="F12" s="109"/>
      <c r="H12" s="112" t="s">
        <v>16</v>
      </c>
      <c r="I12" s="115"/>
    </row>
    <row r="13" spans="1:9" ht="133.5" customHeight="1">
      <c r="A13" s="307" t="s">
        <v>109</v>
      </c>
      <c r="B13" s="308"/>
      <c r="C13" s="308"/>
      <c r="D13" s="308"/>
      <c r="E13" s="308"/>
      <c r="G13" s="319" t="s">
        <v>164</v>
      </c>
      <c r="H13" s="320"/>
      <c r="I13" s="320"/>
    </row>
    <row r="14" spans="1:10" ht="3.75" customHeight="1" thickBot="1">
      <c r="A14" s="108"/>
      <c r="B14" s="108"/>
      <c r="C14" s="108"/>
      <c r="D14" s="108"/>
      <c r="E14" s="108"/>
      <c r="F14" s="108"/>
      <c r="G14" s="108"/>
      <c r="H14" s="108"/>
      <c r="I14" s="108"/>
      <c r="J14" s="162"/>
    </row>
    <row r="16" spans="1:2" ht="13.5">
      <c r="A16" s="117" t="s">
        <v>19</v>
      </c>
      <c r="B16" s="103"/>
    </row>
    <row r="17" ht="13.5">
      <c r="B17" s="110"/>
    </row>
    <row r="18" spans="1:9" ht="13.5">
      <c r="A18" s="150" t="s">
        <v>86</v>
      </c>
      <c r="C18" s="270"/>
      <c r="F18" s="118"/>
      <c r="G18" s="119"/>
      <c r="I18" s="109"/>
    </row>
    <row r="19" spans="1:3" ht="9" customHeight="1">
      <c r="A19" s="150"/>
      <c r="C19" s="107"/>
    </row>
    <row r="20" spans="1:4" ht="13.5">
      <c r="A20" s="150" t="s">
        <v>97</v>
      </c>
      <c r="C20" s="155"/>
      <c r="D20" s="120"/>
    </row>
    <row r="21" spans="1:3" ht="13.5">
      <c r="A21" s="121" t="s">
        <v>52</v>
      </c>
      <c r="C21" s="155"/>
    </row>
    <row r="22" spans="1:3" ht="13.5">
      <c r="A22" s="287" t="s">
        <v>188</v>
      </c>
      <c r="C22" s="295">
        <f>IF(AUTO_NumberAdults+(AUTO_NumberCouples*2)&lt;1,"",AUTO_NumberAdults+(AUTO_NumberCouples*2))</f>
      </c>
    </row>
    <row r="23" spans="1:5" ht="13.5">
      <c r="A23" s="150" t="s">
        <v>48</v>
      </c>
      <c r="C23" s="155"/>
      <c r="E23" s="120"/>
    </row>
    <row r="24" spans="1:9" ht="13.5">
      <c r="A24" s="287"/>
      <c r="C24" s="288"/>
      <c r="D24" s="119"/>
      <c r="E24" s="119"/>
      <c r="G24" s="313" t="s">
        <v>15</v>
      </c>
      <c r="H24" s="314"/>
      <c r="I24" s="122"/>
    </row>
    <row r="25" spans="1:9" ht="13.5">
      <c r="A25" s="150" t="s">
        <v>18</v>
      </c>
      <c r="C25" s="155"/>
      <c r="D25" s="119"/>
      <c r="E25" s="182"/>
      <c r="F25" s="106"/>
      <c r="H25" s="112" t="s">
        <v>14</v>
      </c>
      <c r="I25" s="154"/>
    </row>
    <row r="26" spans="1:9" ht="13.5">
      <c r="A26" s="150" t="s">
        <v>22</v>
      </c>
      <c r="C26" s="268"/>
      <c r="D26" s="247" t="s">
        <v>156</v>
      </c>
      <c r="E26" s="183"/>
      <c r="H26" s="112" t="s">
        <v>21</v>
      </c>
      <c r="I26" s="154"/>
    </row>
    <row r="27" spans="1:9" ht="14.25" thickBot="1">
      <c r="A27" s="150" t="s">
        <v>175</v>
      </c>
      <c r="B27" s="119"/>
      <c r="C27" s="267"/>
      <c r="D27" s="119" t="s">
        <v>160</v>
      </c>
      <c r="E27" s="183"/>
      <c r="H27" s="112" t="s">
        <v>3</v>
      </c>
      <c r="I27" s="124">
        <f>SUM(I25:I26)</f>
        <v>0</v>
      </c>
    </row>
    <row r="28" spans="1:9" ht="14.25" thickBot="1">
      <c r="A28" s="150" t="s">
        <v>176</v>
      </c>
      <c r="C28" s="269" t="e">
        <f>IF(VLOOKUP(mortgageInsurer,listMortgageInsurersData,2,FALSE)=0,rate+VLOOKUP(mortgageInsurer,listMortgageInsurersData,3,FALSE),IF(VLOOKUP(mortgageInsurer,listMortgageInsurersData,3,FALSE)=0,VLOOKUP(mortgageInsurer,listMortgageInsurersData,2,FALSE),MAX(VLOOKUP(mortgageInsurer,listMortgageInsurersData,2,FALSE),rate+VLOOKUP(mortgageInsurer,listMortgageInsurersData,3,FALSE))))</f>
        <v>#N/A</v>
      </c>
      <c r="D28" s="119"/>
      <c r="E28" s="183"/>
      <c r="F28" s="127"/>
      <c r="H28" s="125" t="s">
        <v>2</v>
      </c>
      <c r="I28" s="126" t="e">
        <f>C37/I27</f>
        <v>#DIV/0!</v>
      </c>
    </row>
    <row r="29" spans="1:5" ht="13.5">
      <c r="A29" s="150"/>
      <c r="C29" s="184"/>
      <c r="E29" s="120"/>
    </row>
    <row r="30" spans="1:26" ht="28.5">
      <c r="A30" s="188"/>
      <c r="B30" s="188"/>
      <c r="C30" s="205" t="s">
        <v>122</v>
      </c>
      <c r="D30" s="206" t="s">
        <v>134</v>
      </c>
      <c r="E30" s="204" t="s">
        <v>129</v>
      </c>
      <c r="F30" s="203" t="s">
        <v>130</v>
      </c>
      <c r="G30" s="321" t="s">
        <v>135</v>
      </c>
      <c r="H30" s="321"/>
      <c r="I30" s="321"/>
      <c r="Y30" s="100"/>
      <c r="Z30" s="100"/>
    </row>
    <row r="31" spans="1:26" ht="13.5">
      <c r="A31" s="186" t="s">
        <v>136</v>
      </c>
      <c r="B31" s="187"/>
      <c r="C31" s="207"/>
      <c r="D31" s="202"/>
      <c r="E31" s="200" t="e">
        <f aca="true" t="shared" si="0" ref="E31:E36">-PMT(($C$28/12),(($C$25-D31)*12),C31,0)</f>
        <v>#N/A</v>
      </c>
      <c r="F31" s="201" t="e">
        <f aca="true" t="shared" si="1" ref="F31:F36">-PMT(($C$26/12),(($C$25-D31)*12),C31,0)</f>
        <v>#NUM!</v>
      </c>
      <c r="I31" s="159"/>
      <c r="Y31" s="100"/>
      <c r="Z31" s="100"/>
    </row>
    <row r="32" spans="1:26" ht="13.5">
      <c r="A32" s="186" t="s">
        <v>117</v>
      </c>
      <c r="B32" s="187"/>
      <c r="C32" s="207"/>
      <c r="D32" s="202"/>
      <c r="E32" s="200" t="e">
        <f t="shared" si="0"/>
        <v>#N/A</v>
      </c>
      <c r="F32" s="201" t="e">
        <f t="shared" si="1"/>
        <v>#NUM!</v>
      </c>
      <c r="I32" s="159"/>
      <c r="Y32" s="100"/>
      <c r="Z32" s="100"/>
    </row>
    <row r="33" spans="1:26" ht="13.5">
      <c r="A33" s="186" t="s">
        <v>118</v>
      </c>
      <c r="B33" s="187"/>
      <c r="C33" s="207"/>
      <c r="D33" s="202"/>
      <c r="E33" s="200" t="e">
        <f t="shared" si="0"/>
        <v>#N/A</v>
      </c>
      <c r="F33" s="201" t="e">
        <f t="shared" si="1"/>
        <v>#NUM!</v>
      </c>
      <c r="I33" s="159"/>
      <c r="Y33" s="100"/>
      <c r="Z33" s="100"/>
    </row>
    <row r="34" spans="1:26" ht="13.5">
      <c r="A34" s="186" t="s">
        <v>119</v>
      </c>
      <c r="B34" s="187"/>
      <c r="C34" s="207"/>
      <c r="D34" s="202"/>
      <c r="E34" s="200" t="e">
        <f t="shared" si="0"/>
        <v>#N/A</v>
      </c>
      <c r="F34" s="201" t="e">
        <f t="shared" si="1"/>
        <v>#NUM!</v>
      </c>
      <c r="I34" s="159"/>
      <c r="Y34" s="100"/>
      <c r="Z34" s="100"/>
    </row>
    <row r="35" spans="1:26" ht="13.5">
      <c r="A35" s="186" t="s">
        <v>120</v>
      </c>
      <c r="B35" s="187"/>
      <c r="C35" s="207"/>
      <c r="D35" s="202"/>
      <c r="E35" s="200" t="e">
        <f t="shared" si="0"/>
        <v>#N/A</v>
      </c>
      <c r="F35" s="201" t="e">
        <f t="shared" si="1"/>
        <v>#NUM!</v>
      </c>
      <c r="I35" s="159"/>
      <c r="Y35" s="100"/>
      <c r="Z35" s="100"/>
    </row>
    <row r="36" spans="1:26" ht="13.5">
      <c r="A36" s="186" t="s">
        <v>121</v>
      </c>
      <c r="B36" s="187"/>
      <c r="C36" s="211"/>
      <c r="D36" s="202"/>
      <c r="E36" s="200" t="e">
        <f t="shared" si="0"/>
        <v>#N/A</v>
      </c>
      <c r="F36" s="201" t="e">
        <f t="shared" si="1"/>
        <v>#NUM!</v>
      </c>
      <c r="I36" s="159"/>
      <c r="Y36" s="100"/>
      <c r="Z36" s="100"/>
    </row>
    <row r="37" spans="1:26" ht="13.5">
      <c r="A37" s="196" t="s">
        <v>131</v>
      </c>
      <c r="B37" s="191"/>
      <c r="C37" s="208">
        <f>SUM(C31:C36)</f>
        <v>0</v>
      </c>
      <c r="D37" s="189"/>
      <c r="E37" s="190" t="e">
        <f>SUM(E31:E36)</f>
        <v>#N/A</v>
      </c>
      <c r="F37" s="190" t="e">
        <f>SUM(F31:F36)</f>
        <v>#NUM!</v>
      </c>
      <c r="I37" s="159"/>
      <c r="Y37" s="100"/>
      <c r="Z37" s="100"/>
    </row>
    <row r="38" spans="3:26" ht="13.5">
      <c r="C38" s="191"/>
      <c r="D38" s="192"/>
      <c r="E38" s="193"/>
      <c r="F38" s="193"/>
      <c r="G38" s="194"/>
      <c r="H38" s="195"/>
      <c r="I38" s="195"/>
      <c r="Z38" s="100"/>
    </row>
    <row r="39" spans="1:26" ht="15" customHeight="1">
      <c r="A39" s="100" t="s">
        <v>132</v>
      </c>
      <c r="C39" s="209"/>
      <c r="D39" s="331" t="s">
        <v>163</v>
      </c>
      <c r="E39" s="332"/>
      <c r="F39" s="332"/>
      <c r="G39" s="332"/>
      <c r="H39" s="332"/>
      <c r="I39" s="332"/>
      <c r="J39" s="170"/>
      <c r="K39" s="171"/>
      <c r="Z39" s="100"/>
    </row>
    <row r="40" spans="1:26" ht="13.5">
      <c r="A40" s="100" t="s">
        <v>133</v>
      </c>
      <c r="C40" s="210">
        <f>C37-C39</f>
        <v>0</v>
      </c>
      <c r="D40" s="251" t="s">
        <v>162</v>
      </c>
      <c r="E40" s="193"/>
      <c r="F40" s="197"/>
      <c r="G40" s="194"/>
      <c r="H40" s="195"/>
      <c r="I40" s="195"/>
      <c r="Z40" s="100"/>
    </row>
    <row r="41" ht="13.5">
      <c r="Z41" s="100"/>
    </row>
    <row r="42" spans="1:9" ht="14.25" thickBot="1">
      <c r="A42" s="108"/>
      <c r="B42" s="108"/>
      <c r="C42" s="108"/>
      <c r="D42" s="108"/>
      <c r="E42" s="108"/>
      <c r="F42" s="108"/>
      <c r="G42" s="108"/>
      <c r="H42" s="108"/>
      <c r="I42" s="108"/>
    </row>
    <row r="44" spans="1:2" ht="13.5">
      <c r="A44" s="117" t="s">
        <v>107</v>
      </c>
      <c r="B44" s="103"/>
    </row>
    <row r="45" spans="1:11" ht="13.5">
      <c r="A45" s="110"/>
      <c r="B45" s="110"/>
      <c r="J45" s="163"/>
      <c r="K45" s="162"/>
    </row>
    <row r="46" spans="1:10" ht="56.25" thickBot="1">
      <c r="A46" s="128"/>
      <c r="B46" s="129" t="s">
        <v>108</v>
      </c>
      <c r="C46" s="266" t="s">
        <v>170</v>
      </c>
      <c r="D46" s="224" t="s">
        <v>144</v>
      </c>
      <c r="E46" s="130" t="s">
        <v>145</v>
      </c>
      <c r="F46" s="130" t="s">
        <v>57</v>
      </c>
      <c r="G46" s="129" t="s">
        <v>115</v>
      </c>
      <c r="H46" s="129" t="s">
        <v>114</v>
      </c>
      <c r="I46" s="129" t="s">
        <v>116</v>
      </c>
      <c r="J46" s="230"/>
    </row>
    <row r="47" spans="1:27" ht="13.5">
      <c r="A47" s="100" t="s">
        <v>44</v>
      </c>
      <c r="B47" s="155"/>
      <c r="C47" s="216"/>
      <c r="D47" s="219"/>
      <c r="E47" s="218">
        <f>'Supplementary Income'!J16</f>
        <v>0</v>
      </c>
      <c r="F47" s="218">
        <f>IF(K50=0,0,IF($C$69&gt;0,$C$69/J$50,0))</f>
        <v>0</v>
      </c>
      <c r="G47" s="131">
        <f>IF(O50=1,$C$80/-O$54,0)</f>
        <v>0</v>
      </c>
      <c r="H47" s="123">
        <f>AUTO_GrossIncome+(AUTO_OvertimeShiftAllowances*'Supplementary Income'!K16)+(AUTO_Bonus*'Supplementary Income'!L16)+(AUTO_Investment*'Supplementary Income'!L16)+(AUTO_SecondCasual*'Supplementary Income'!L16)+F47-G47</f>
        <v>0</v>
      </c>
      <c r="I47" s="213">
        <f>Tables!C$43</f>
        <v>0</v>
      </c>
      <c r="J47" s="230"/>
      <c r="W47" s="242"/>
      <c r="AA47" s="119">
        <f>IF(AND(C47&gt;0.9,B47=""),1,2)</f>
        <v>2</v>
      </c>
    </row>
    <row r="48" spans="1:27" ht="13.5">
      <c r="A48" s="100" t="s">
        <v>45</v>
      </c>
      <c r="B48" s="155"/>
      <c r="C48" s="216"/>
      <c r="D48" s="220"/>
      <c r="E48" s="218">
        <f>'Supplementary Income'!J17</f>
        <v>0</v>
      </c>
      <c r="F48" s="218">
        <f>IF(K51=0,0,IF($C$69&gt;0,$C$69/J$50,0))</f>
        <v>0</v>
      </c>
      <c r="G48" s="131">
        <f>IF(O51=1,$C$80/-O$54,0)</f>
        <v>0</v>
      </c>
      <c r="H48" s="123">
        <f>AUTO_GrossIncome2+(AUTO_OvertimeShiftAllowances2*'Supplementary Income'!K17)+(AUTO_Bonus2*'Supplementary Income'!L17)+(AUTO_Investment2*'Supplementary Income'!L17)+(AUTO_SecondCasual2*'Supplementary Income'!L17)+F48-G48</f>
        <v>0</v>
      </c>
      <c r="I48" s="213">
        <f>Tables!D$43</f>
        <v>0</v>
      </c>
      <c r="J48" s="230"/>
      <c r="AA48" s="119">
        <f>IF(AND(C48&gt;0.9,B48=""),1,2)</f>
        <v>2</v>
      </c>
    </row>
    <row r="49" spans="1:27" ht="13.5" customHeight="1">
      <c r="A49" s="100" t="s">
        <v>46</v>
      </c>
      <c r="B49" s="155"/>
      <c r="C49" s="216"/>
      <c r="D49" s="220"/>
      <c r="E49" s="218">
        <f>'Supplementary Income'!J18</f>
        <v>0</v>
      </c>
      <c r="F49" s="218">
        <f>IF(K52=0,0,IF($C$69&gt;0,$C$69/J$50,0))</f>
        <v>0</v>
      </c>
      <c r="G49" s="131">
        <f>IF(O52=1,$C$80/-O$54,0)</f>
        <v>0</v>
      </c>
      <c r="H49" s="123">
        <f>AUTO_GrossIncome3+(AUTO_OvertimeShiftAllowances3*'Supplementary Income'!K18)+(AUTO_Bonus3*'Supplementary Income'!L18)+(AUTO_Investment3*'Supplementary Income'!L18)+(AUTO_SecondCasual3*'Supplementary Income'!L18)+F49-G49</f>
        <v>0</v>
      </c>
      <c r="I49" s="213">
        <f>Tables!E$43</f>
        <v>0</v>
      </c>
      <c r="J49" s="230"/>
      <c r="M49" s="164" t="s">
        <v>63</v>
      </c>
      <c r="N49" s="164" t="s">
        <v>64</v>
      </c>
      <c r="AA49" s="119">
        <f>IF(AND(C49&gt;0.9,B49=""),1,2)</f>
        <v>2</v>
      </c>
    </row>
    <row r="50" spans="1:27" ht="14.25" customHeight="1" thickBot="1">
      <c r="A50" s="100" t="s">
        <v>47</v>
      </c>
      <c r="B50" s="155"/>
      <c r="C50" s="217"/>
      <c r="D50" s="220"/>
      <c r="E50" s="218">
        <f>'Supplementary Income'!J19</f>
        <v>0</v>
      </c>
      <c r="F50" s="218">
        <f>IF(K53=0,0,IF($C$69&gt;0,$C$69/J$50,0))</f>
        <v>0</v>
      </c>
      <c r="G50" s="131">
        <f>IF(O53=1,$C$80/-O$54,0)</f>
        <v>0</v>
      </c>
      <c r="H50" s="123">
        <f>AUTO_GrossIncome4+(AUTO_OvertimeShiftAllowances4*'Supplementary Income'!K19)+(AUTO_Bonus4*'Supplementary Income'!L19)+(AUTO_Investment4*'Supplementary Income'!L19)+(AUTO_SecondCasual4*'Supplementary Income'!L19)+F50-G50</f>
        <v>0</v>
      </c>
      <c r="I50" s="214">
        <f>Tables!F$43</f>
        <v>0</v>
      </c>
      <c r="J50" s="232">
        <f>SUM(K50:K53)</f>
        <v>0</v>
      </c>
      <c r="K50" s="165">
        <f>IF(B47&lt;&gt;"",VLOOKUP(B47,L50:M53,2,FALSE),0)</f>
        <v>0</v>
      </c>
      <c r="L50" s="165" t="s">
        <v>41</v>
      </c>
      <c r="M50" s="165">
        <v>0</v>
      </c>
      <c r="N50" s="159">
        <v>1</v>
      </c>
      <c r="O50" s="165">
        <f>IF(B47&lt;&gt;"",VLOOKUP(B47,L$50:N$53,3,FALSE),0)</f>
        <v>0</v>
      </c>
      <c r="AA50" s="119">
        <f>IF(AND(C50&gt;0.9,B50=""),1,2)</f>
        <v>2</v>
      </c>
    </row>
    <row r="51" spans="1:23" ht="23.25" customHeight="1" thickBot="1">
      <c r="A51" s="110" t="s">
        <v>42</v>
      </c>
      <c r="B51" s="132"/>
      <c r="C51" s="134">
        <f>SUM(C47:C50)</f>
        <v>0</v>
      </c>
      <c r="D51" s="221"/>
      <c r="E51" s="177">
        <f>SUM(E47:E50)</f>
        <v>0</v>
      </c>
      <c r="F51" s="177">
        <f>SUM(F47:F50)</f>
        <v>0</v>
      </c>
      <c r="G51" s="133">
        <f>SUM(G47:G50)</f>
        <v>0</v>
      </c>
      <c r="H51" s="134">
        <f>SUM(H47:H50)</f>
        <v>0</v>
      </c>
      <c r="I51" s="215">
        <f>SUM(I47:I50)</f>
        <v>0</v>
      </c>
      <c r="J51" s="231"/>
      <c r="K51" s="165">
        <f>IF(B48&lt;&gt;"",VLOOKUP(B48,L50:M53,2,FALSE),0)</f>
        <v>0</v>
      </c>
      <c r="L51" s="165" t="s">
        <v>49</v>
      </c>
      <c r="M51" s="165">
        <v>1</v>
      </c>
      <c r="N51" s="159">
        <v>1</v>
      </c>
      <c r="O51" s="165">
        <f>IF(B48&lt;&gt;"",VLOOKUP(B48,L$50:N$53,3,FALSE),0)</f>
        <v>0</v>
      </c>
      <c r="W51" s="242"/>
    </row>
    <row r="52" spans="1:15" ht="13.5">
      <c r="A52" s="110"/>
      <c r="B52" s="176"/>
      <c r="C52" s="174"/>
      <c r="D52" s="174"/>
      <c r="E52" s="174"/>
      <c r="F52" s="174"/>
      <c r="G52" s="174"/>
      <c r="H52" s="174"/>
      <c r="I52" s="174"/>
      <c r="J52" s="231"/>
      <c r="K52" s="165">
        <f>IF(B49&lt;&gt;"",VLOOKUP(B49,L50:M53,2,FALSE),0)</f>
        <v>0</v>
      </c>
      <c r="L52" s="165" t="s">
        <v>51</v>
      </c>
      <c r="M52" s="165">
        <v>0</v>
      </c>
      <c r="N52" s="159">
        <v>0</v>
      </c>
      <c r="O52" s="165">
        <f>IF(B49&lt;&gt;"",VLOOKUP(B49,L$50:N$53,3,FALSE),0)</f>
        <v>0</v>
      </c>
    </row>
    <row r="53" spans="3:15" ht="27.75">
      <c r="C53" s="180" t="s">
        <v>111</v>
      </c>
      <c r="D53" s="181" t="s">
        <v>113</v>
      </c>
      <c r="E53" s="180" t="s">
        <v>110</v>
      </c>
      <c r="F53" s="180" t="s">
        <v>112</v>
      </c>
      <c r="G53" s="165"/>
      <c r="H53" s="165"/>
      <c r="I53" s="165"/>
      <c r="J53" s="231"/>
      <c r="K53" s="165">
        <f>IF(B50&lt;&gt;"",VLOOKUP(B50,L50:M53,2,FALSE),0)</f>
        <v>0</v>
      </c>
      <c r="L53" s="165" t="s">
        <v>50</v>
      </c>
      <c r="M53" s="165">
        <v>1</v>
      </c>
      <c r="N53" s="159">
        <v>0</v>
      </c>
      <c r="O53" s="165">
        <f>IF(B50&lt;&gt;"",VLOOKUP(B50,L$50:N$53,3,FALSE),0)</f>
        <v>0</v>
      </c>
    </row>
    <row r="54" spans="1:15" ht="14.25">
      <c r="A54" s="178" t="s">
        <v>98</v>
      </c>
      <c r="C54" s="179"/>
      <c r="D54" s="175">
        <f>IF(C54&gt;0,C54*0.3,0)</f>
        <v>0</v>
      </c>
      <c r="E54" s="179"/>
      <c r="F54" s="175">
        <f>C54-D54+E54</f>
        <v>0</v>
      </c>
      <c r="G54" s="159"/>
      <c r="H54" s="159"/>
      <c r="I54" s="159"/>
      <c r="J54" s="165"/>
      <c r="K54" s="165"/>
      <c r="L54" s="165"/>
      <c r="M54" s="165"/>
      <c r="O54" s="159">
        <f>SUM(O50:O53)</f>
        <v>0</v>
      </c>
    </row>
    <row r="55" spans="1:13" ht="13.5">
      <c r="A55" s="264" t="s">
        <v>171</v>
      </c>
      <c r="B55" s="265"/>
      <c r="C55" s="265"/>
      <c r="D55" s="265"/>
      <c r="E55" s="265"/>
      <c r="F55" s="265"/>
      <c r="G55" s="265"/>
      <c r="H55" s="265"/>
      <c r="I55" s="265"/>
      <c r="J55" s="165"/>
      <c r="K55" s="165"/>
      <c r="L55" s="165"/>
      <c r="M55" s="165"/>
    </row>
    <row r="56" spans="1:13" ht="13.5">
      <c r="A56" s="246"/>
      <c r="J56" s="165"/>
      <c r="K56" s="165"/>
      <c r="L56" s="165"/>
      <c r="M56" s="165"/>
    </row>
    <row r="57" ht="13.5">
      <c r="A57" s="111" t="s">
        <v>104</v>
      </c>
    </row>
    <row r="58" spans="1:26" ht="13.5">
      <c r="A58" s="150" t="s">
        <v>154</v>
      </c>
      <c r="B58" s="150"/>
      <c r="C58" s="158"/>
      <c r="D58" s="150"/>
      <c r="E58" s="150"/>
      <c r="F58" s="150"/>
      <c r="G58" s="150"/>
      <c r="H58" s="150"/>
      <c r="I58" s="150"/>
      <c r="W58" s="100"/>
      <c r="X58" s="100"/>
      <c r="Y58" s="100"/>
      <c r="Z58" s="100"/>
    </row>
    <row r="59" spans="1:26" ht="14.25">
      <c r="A59" s="157" t="s">
        <v>153</v>
      </c>
      <c r="B59" s="150"/>
      <c r="C59" s="150"/>
      <c r="D59" s="150"/>
      <c r="E59" s="150"/>
      <c r="F59" s="150"/>
      <c r="G59" s="150"/>
      <c r="H59" s="150"/>
      <c r="I59" s="150"/>
      <c r="W59" s="100"/>
      <c r="X59" s="100"/>
      <c r="Y59" s="100"/>
      <c r="Z59" s="100"/>
    </row>
    <row r="60" spans="1:9" ht="13.5" hidden="1">
      <c r="A60" s="150"/>
      <c r="B60" s="150"/>
      <c r="C60" s="149"/>
      <c r="D60" s="150"/>
      <c r="E60" s="150"/>
      <c r="F60" s="150"/>
      <c r="G60" s="150"/>
      <c r="H60" s="150"/>
      <c r="I60" s="150"/>
    </row>
    <row r="61" spans="1:9" ht="14.25" customHeight="1" hidden="1">
      <c r="A61" s="309"/>
      <c r="B61" s="309"/>
      <c r="C61" s="309"/>
      <c r="D61" s="309"/>
      <c r="E61" s="309"/>
      <c r="F61" s="309"/>
      <c r="G61" s="309"/>
      <c r="H61" s="309"/>
      <c r="I61" s="309"/>
    </row>
    <row r="62" ht="13.5">
      <c r="C62" s="149">
        <f>LOOKUP(C23,Tables!B7:B22,Tables!C7:C22)+IF(C20&gt;0,(C20*Tables!C4),IF(C20=2,Tables!C5+Tables!C4,IF(C20&gt;=1,Tables!C4*1,0)))+IF(C21&gt;0,C21*Tables!C5,0)</f>
        <v>0</v>
      </c>
    </row>
    <row r="63" spans="1:9" ht="13.5">
      <c r="A63" s="111" t="s">
        <v>106</v>
      </c>
      <c r="E63" s="128" t="s">
        <v>105</v>
      </c>
      <c r="F63" s="128"/>
      <c r="G63" s="100" t="s">
        <v>94</v>
      </c>
      <c r="H63" s="100" t="s">
        <v>88</v>
      </c>
      <c r="I63" s="100" t="s">
        <v>96</v>
      </c>
    </row>
    <row r="64" spans="1:16" ht="14.25">
      <c r="A64" s="100" t="s">
        <v>99</v>
      </c>
      <c r="C64" s="154"/>
      <c r="F64" s="112" t="s">
        <v>89</v>
      </c>
      <c r="G64" s="131">
        <f>C37</f>
        <v>0</v>
      </c>
      <c r="H64" s="131" t="e">
        <f>F37</f>
        <v>#NUM!</v>
      </c>
      <c r="I64" s="172" t="e">
        <f>E37</f>
        <v>#N/A</v>
      </c>
      <c r="J64" s="168"/>
      <c r="K64" s="168"/>
      <c r="L64" s="168"/>
      <c r="M64" s="168"/>
      <c r="N64" s="168"/>
      <c r="O64" s="168"/>
      <c r="P64" s="168"/>
    </row>
    <row r="65" spans="1:9" ht="15" customHeight="1">
      <c r="A65" s="100" t="s">
        <v>100</v>
      </c>
      <c r="C65" s="154"/>
      <c r="F65" s="112" t="s">
        <v>27</v>
      </c>
      <c r="G65" s="154"/>
      <c r="H65" s="154"/>
      <c r="I65" s="185" t="e">
        <f>MAX(S68,T68)</f>
        <v>#N/A</v>
      </c>
    </row>
    <row r="66" spans="1:20" ht="14.25" thickBot="1">
      <c r="A66" s="100" t="s">
        <v>101</v>
      </c>
      <c r="C66" s="156"/>
      <c r="F66" s="112" t="s">
        <v>28</v>
      </c>
      <c r="G66" s="154"/>
      <c r="H66" s="154"/>
      <c r="I66" s="185" t="e">
        <f>MAX(S69,T69)</f>
        <v>#N/A</v>
      </c>
      <c r="S66" s="159" t="s">
        <v>90</v>
      </c>
      <c r="T66" s="159" t="s">
        <v>91</v>
      </c>
    </row>
    <row r="67" spans="1:22" ht="14.25" thickBot="1">
      <c r="A67" s="110" t="s">
        <v>23</v>
      </c>
      <c r="B67" s="110"/>
      <c r="C67" s="136">
        <f>SUM(C64:C66)</f>
        <v>0</v>
      </c>
      <c r="D67" s="107"/>
      <c r="F67" s="112" t="s">
        <v>11</v>
      </c>
      <c r="G67" s="169" t="s">
        <v>95</v>
      </c>
      <c r="H67" s="154"/>
      <c r="I67" s="173">
        <f>AUTO_PersonalLoans</f>
        <v>0</v>
      </c>
      <c r="R67" s="162"/>
      <c r="S67" s="162"/>
      <c r="T67" s="162"/>
      <c r="U67" s="162"/>
      <c r="V67" s="162"/>
    </row>
    <row r="68" spans="1:23" ht="14.25" thickBot="1">
      <c r="A68" s="110" t="s">
        <v>24</v>
      </c>
      <c r="C68" s="137">
        <f>C67*52</f>
        <v>0</v>
      </c>
      <c r="F68" s="113" t="s">
        <v>189</v>
      </c>
      <c r="G68" s="154"/>
      <c r="H68" s="123">
        <f>G68*Tables!C25</f>
        <v>0</v>
      </c>
      <c r="I68" s="173">
        <f>H68</f>
        <v>0</v>
      </c>
      <c r="R68" s="159" t="s">
        <v>92</v>
      </c>
      <c r="S68" s="166" t="e">
        <f>-PMT((C28/12),C25*12,G65,0)</f>
        <v>#N/A</v>
      </c>
      <c r="T68" s="166">
        <f>AUTO_OtherMortgages</f>
        <v>0</v>
      </c>
      <c r="W68" s="162"/>
    </row>
    <row r="69" spans="1:20" ht="29.25" customHeight="1" thickBot="1">
      <c r="A69" s="138" t="s">
        <v>55</v>
      </c>
      <c r="C69" s="137">
        <f>C68*0.8</f>
        <v>0</v>
      </c>
      <c r="D69" s="316" t="s">
        <v>161</v>
      </c>
      <c r="E69" s="317"/>
      <c r="F69" s="318"/>
      <c r="G69" s="169" t="s">
        <v>95</v>
      </c>
      <c r="H69" s="154"/>
      <c r="I69" s="173">
        <f>AUTO_OtherExpenses</f>
        <v>0</v>
      </c>
      <c r="R69" s="159" t="s">
        <v>93</v>
      </c>
      <c r="S69" s="166" t="e">
        <f>-PMT((C28/12),C25*12,G66,0)</f>
        <v>#N/A</v>
      </c>
      <c r="T69" s="166">
        <f>AUTO_OtherInvestmentMortgages</f>
        <v>0</v>
      </c>
    </row>
    <row r="70" spans="1:6" ht="14.25" thickBot="1">
      <c r="A70" s="310" t="s">
        <v>184</v>
      </c>
      <c r="F70" s="112"/>
    </row>
    <row r="71" spans="1:9" ht="14.25" thickBot="1">
      <c r="A71" s="311"/>
      <c r="B71" s="110"/>
      <c r="C71" s="136">
        <f>(C51+F54+E51)-'Supplementary Income'!H20-('Supplementary Income'!I20*0.8)</f>
        <v>0</v>
      </c>
      <c r="G71" s="113" t="s">
        <v>56</v>
      </c>
      <c r="H71" s="112"/>
      <c r="I71" s="139">
        <f>C68*0.8</f>
        <v>0</v>
      </c>
    </row>
    <row r="72" spans="1:9" ht="14.25" thickBot="1">
      <c r="A72" s="312"/>
      <c r="G72" s="125" t="s">
        <v>13</v>
      </c>
      <c r="H72" s="125"/>
      <c r="I72" s="136" t="e">
        <f>C88-I71</f>
        <v>#N/A</v>
      </c>
    </row>
    <row r="73" spans="1:4" ht="14.25" thickBot="1">
      <c r="A73" s="110" t="s">
        <v>6</v>
      </c>
      <c r="B73" s="110"/>
      <c r="C73" s="126" t="e">
        <f>SUM(I72/C71)</f>
        <v>#N/A</v>
      </c>
      <c r="D73" s="121"/>
    </row>
    <row r="74" spans="1:9" ht="14.25" hidden="1" thickBot="1">
      <c r="A74" s="108"/>
      <c r="B74" s="108"/>
      <c r="C74" s="108"/>
      <c r="D74" s="108"/>
      <c r="E74" s="108"/>
      <c r="F74" s="108"/>
      <c r="G74" s="108"/>
      <c r="H74" s="108"/>
      <c r="I74" s="108"/>
    </row>
    <row r="75" spans="10:11" ht="13.5" hidden="1">
      <c r="J75" s="160"/>
      <c r="K75" s="160"/>
    </row>
    <row r="76" spans="1:11" ht="13.5" hidden="1">
      <c r="A76" s="117" t="s">
        <v>20</v>
      </c>
      <c r="B76" s="103"/>
      <c r="J76" s="160"/>
      <c r="K76" s="160"/>
    </row>
    <row r="77" spans="1:11" ht="13.5" hidden="1">
      <c r="A77" s="110"/>
      <c r="B77" s="110"/>
      <c r="C77" s="107" t="s">
        <v>102</v>
      </c>
      <c r="H77" s="315"/>
      <c r="J77" s="160"/>
      <c r="K77" s="160"/>
    </row>
    <row r="78" spans="1:11" ht="13.5">
      <c r="A78" s="100" t="s">
        <v>185</v>
      </c>
      <c r="C78" s="123">
        <f>(C51+E51)-'Supplementary Income'!H20-('Supplementary Income'!I20*0.8)</f>
        <v>0</v>
      </c>
      <c r="H78" s="315"/>
      <c r="J78" s="160"/>
      <c r="K78" s="160"/>
    </row>
    <row r="79" spans="1:11" ht="13.5">
      <c r="A79" s="100" t="s">
        <v>60</v>
      </c>
      <c r="C79" s="123">
        <f>C69</f>
        <v>0</v>
      </c>
      <c r="H79" s="315"/>
      <c r="J79" s="160"/>
      <c r="K79" s="160"/>
    </row>
    <row r="80" spans="1:11" ht="13.5">
      <c r="A80" s="100" t="s">
        <v>7</v>
      </c>
      <c r="C80" s="131" t="e">
        <f>(IPMT(C26,1,C25,C39))+MAX(-I66*12,(IPMT(C26,1,C25,G66)))</f>
        <v>#NUM!</v>
      </c>
      <c r="H80" s="315"/>
      <c r="J80" s="160"/>
      <c r="K80" s="160"/>
    </row>
    <row r="81" spans="1:11" ht="13.5">
      <c r="A81" s="100" t="s">
        <v>39</v>
      </c>
      <c r="C81" s="131">
        <f>C78+C79</f>
        <v>0</v>
      </c>
      <c r="H81" s="315"/>
      <c r="J81" s="160"/>
      <c r="K81" s="160"/>
    </row>
    <row r="82" spans="1:11" ht="14.25" thickBot="1">
      <c r="A82" s="100" t="s">
        <v>40</v>
      </c>
      <c r="C82" s="124">
        <f>I51</f>
        <v>0</v>
      </c>
      <c r="J82" s="167"/>
      <c r="K82" s="160"/>
    </row>
    <row r="83" spans="1:11" ht="14.25" thickBot="1">
      <c r="A83" s="110" t="s">
        <v>8</v>
      </c>
      <c r="B83" s="110"/>
      <c r="C83" s="136">
        <f>C78+C79-C82</f>
        <v>0</v>
      </c>
      <c r="F83" s="106"/>
      <c r="H83" s="141"/>
      <c r="I83" s="142"/>
      <c r="J83" s="160"/>
      <c r="K83" s="160"/>
    </row>
    <row r="84" spans="1:11" ht="15" thickBot="1">
      <c r="A84" s="135" t="s">
        <v>43</v>
      </c>
      <c r="B84" s="110"/>
      <c r="C84" s="143">
        <f>F54</f>
        <v>0</v>
      </c>
      <c r="H84" s="140"/>
      <c r="I84" s="144">
        <f>(C87/1.25)-SUM(H65:H69)</f>
        <v>0</v>
      </c>
      <c r="J84" s="160"/>
      <c r="K84" s="160"/>
    </row>
    <row r="85" spans="1:11" ht="14.25" customHeight="1">
      <c r="A85" s="100" t="s">
        <v>103</v>
      </c>
      <c r="C85" s="143">
        <f>'Supplementary Income'!H20+('Supplementary Income'!I20*'Supplementary Income'!L20)</f>
        <v>0</v>
      </c>
      <c r="G85" s="322" t="s">
        <v>85</v>
      </c>
      <c r="H85" s="323"/>
      <c r="I85" s="324"/>
      <c r="K85" s="160"/>
    </row>
    <row r="86" spans="1:15" ht="15" customHeight="1" thickBot="1">
      <c r="A86" s="100" t="s">
        <v>9</v>
      </c>
      <c r="C86" s="145">
        <f>IF(CALC&gt;AUTO_TotalDeclaredLivingExpenses*12,CALC,AUTO_TotalDeclaredLivingExpenses*12)+AUTO_TotalAdditionalLivingExpenses*12</f>
        <v>0</v>
      </c>
      <c r="G86" s="325"/>
      <c r="H86" s="326"/>
      <c r="I86" s="327"/>
      <c r="J86" s="160"/>
      <c r="O86" s="162"/>
    </row>
    <row r="87" spans="1:11" ht="15" customHeight="1" thickBot="1">
      <c r="A87" s="100" t="s">
        <v>29</v>
      </c>
      <c r="C87" s="136">
        <f>SUM(C83:C85)-C86</f>
        <v>0</v>
      </c>
      <c r="G87" s="325"/>
      <c r="H87" s="326"/>
      <c r="I87" s="327"/>
      <c r="J87" s="160"/>
      <c r="K87" s="160"/>
    </row>
    <row r="88" spans="1:11" ht="15" customHeight="1" thickBot="1">
      <c r="A88" s="100" t="s">
        <v>12</v>
      </c>
      <c r="C88" s="278" t="e">
        <f>(I64+I65+I66+AUTO_PersonalLoans+H68+AUTO_OtherExpenses)*12</f>
        <v>#N/A</v>
      </c>
      <c r="G88" s="325"/>
      <c r="H88" s="326"/>
      <c r="I88" s="327"/>
      <c r="J88" s="160"/>
      <c r="K88" s="160"/>
    </row>
    <row r="89" spans="1:11" ht="14.25" customHeight="1" thickBot="1">
      <c r="A89" s="121" t="s">
        <v>54</v>
      </c>
      <c r="C89" s="136" t="e">
        <f>C87-C88</f>
        <v>#N/A</v>
      </c>
      <c r="G89" s="325"/>
      <c r="H89" s="326"/>
      <c r="I89" s="327"/>
      <c r="J89" s="160"/>
      <c r="K89" s="160"/>
    </row>
    <row r="90" spans="1:11" ht="14.25" customHeight="1" thickBot="1">
      <c r="A90" s="280"/>
      <c r="B90" s="280"/>
      <c r="C90" s="279"/>
      <c r="G90" s="328"/>
      <c r="H90" s="329"/>
      <c r="I90" s="330"/>
      <c r="J90" s="160"/>
      <c r="K90" s="160"/>
    </row>
    <row r="91" spans="1:11" ht="15" customHeight="1" thickBot="1">
      <c r="A91" s="100" t="s">
        <v>10</v>
      </c>
      <c r="B91" s="119"/>
      <c r="C91" s="284" t="e">
        <f>ROUND((C87/C88),2)</f>
        <v>#N/A</v>
      </c>
      <c r="D91" s="277" t="e">
        <f>IF(C37&gt;1500000,VLOOKUP(AUTO_MortgageInsurer,Tables!F20:N24,9,FALSE),VLOOKUP(AUTO_MortgageInsurer,Tables!F20:M24,7,FALSE))</f>
        <v>#N/A</v>
      </c>
      <c r="E91" s="282"/>
      <c r="G91" s="249"/>
      <c r="H91" s="249"/>
      <c r="I91" s="249"/>
      <c r="J91" s="160"/>
      <c r="K91" s="160"/>
    </row>
    <row r="92" spans="1:11" ht="15" customHeight="1">
      <c r="A92" s="277"/>
      <c r="B92" s="281"/>
      <c r="C92" s="286" t="e">
        <f>IF(C37&gt;1500000,VLOOKUP(AUTO_MortgageInsurer,Tables!F20:M24,8,FALSE),VLOOKUP(AUTO_MortgageInsurer,Tables!F20:M24,6,FALSE))</f>
        <v>#N/A</v>
      </c>
      <c r="D92" s="275"/>
      <c r="E92" s="276"/>
      <c r="G92" s="248"/>
      <c r="H92" s="248"/>
      <c r="I92" s="248"/>
      <c r="J92" s="160"/>
      <c r="K92" s="160"/>
    </row>
    <row r="93" spans="1:11" ht="39" customHeight="1">
      <c r="A93" s="285" t="s">
        <v>159</v>
      </c>
      <c r="B93" s="110"/>
      <c r="C93" s="250" t="e">
        <f>IF(SUM(AA47:AA50)&lt;8,"NO RESULT",IF(C89&lt;200,"FAIL",IF(C91&gt;=C92,"PASS","FAIL")))</f>
        <v>#N/A</v>
      </c>
      <c r="D93" s="283">
        <f>IF(OR(AA47=1,AA48=1,AA49=1,AA50=1),"NO RESULT: Please input a value in 'Entity' next to all income (field B46 to B49)","")</f>
      </c>
      <c r="G93" s="248"/>
      <c r="H93" s="248"/>
      <c r="I93" s="248"/>
      <c r="J93" s="160"/>
      <c r="K93" s="160"/>
    </row>
    <row r="94" spans="1:11" ht="15" customHeight="1" thickBot="1">
      <c r="A94" s="108"/>
      <c r="B94" s="108"/>
      <c r="C94" s="108"/>
      <c r="D94" s="108"/>
      <c r="E94" s="108"/>
      <c r="F94" s="108"/>
      <c r="G94" s="108"/>
      <c r="H94" s="108"/>
      <c r="I94" s="108"/>
      <c r="J94" s="160"/>
      <c r="K94" s="160"/>
    </row>
    <row r="95" spans="10:11" ht="13.5">
      <c r="J95" s="160"/>
      <c r="K95" s="160"/>
    </row>
    <row r="96" spans="1:11" ht="18" customHeight="1">
      <c r="A96" s="146" t="s">
        <v>53</v>
      </c>
      <c r="B96" s="147"/>
      <c r="C96" s="116"/>
      <c r="D96" s="116"/>
      <c r="E96" s="116"/>
      <c r="F96" s="116"/>
      <c r="G96" s="116"/>
      <c r="H96" s="116"/>
      <c r="I96" s="116"/>
      <c r="J96" s="160"/>
      <c r="K96" s="160"/>
    </row>
    <row r="97" spans="1:11" ht="13.5">
      <c r="A97" s="296"/>
      <c r="B97" s="297"/>
      <c r="C97" s="297"/>
      <c r="D97" s="297"/>
      <c r="E97" s="297"/>
      <c r="F97" s="297"/>
      <c r="G97" s="297"/>
      <c r="H97" s="297"/>
      <c r="I97" s="298"/>
      <c r="J97" s="160"/>
      <c r="K97" s="160"/>
    </row>
    <row r="98" spans="1:11" ht="13.5">
      <c r="A98" s="299"/>
      <c r="B98" s="300"/>
      <c r="C98" s="300"/>
      <c r="D98" s="300"/>
      <c r="E98" s="300"/>
      <c r="F98" s="300"/>
      <c r="G98" s="300"/>
      <c r="H98" s="300"/>
      <c r="I98" s="301"/>
      <c r="J98" s="160"/>
      <c r="K98" s="160"/>
    </row>
    <row r="99" spans="1:11" ht="13.5">
      <c r="A99" s="299"/>
      <c r="B99" s="300"/>
      <c r="C99" s="300"/>
      <c r="D99" s="300"/>
      <c r="E99" s="300"/>
      <c r="F99" s="300"/>
      <c r="G99" s="300"/>
      <c r="H99" s="300"/>
      <c r="I99" s="301"/>
      <c r="J99" s="160"/>
      <c r="K99" s="160"/>
    </row>
    <row r="100" spans="1:11" ht="13.5">
      <c r="A100" s="299"/>
      <c r="B100" s="300"/>
      <c r="C100" s="300"/>
      <c r="D100" s="300"/>
      <c r="E100" s="300"/>
      <c r="F100" s="300"/>
      <c r="G100" s="300"/>
      <c r="H100" s="300"/>
      <c r="I100" s="301"/>
      <c r="J100" s="160"/>
      <c r="K100" s="160"/>
    </row>
    <row r="101" spans="1:11" ht="13.5">
      <c r="A101" s="299"/>
      <c r="B101" s="300"/>
      <c r="C101" s="300"/>
      <c r="D101" s="300"/>
      <c r="E101" s="300"/>
      <c r="F101" s="300"/>
      <c r="G101" s="300"/>
      <c r="H101" s="300"/>
      <c r="I101" s="301"/>
      <c r="J101" s="160"/>
      <c r="K101" s="160"/>
    </row>
    <row r="102" spans="1:11" ht="13.5">
      <c r="A102" s="299"/>
      <c r="B102" s="300"/>
      <c r="C102" s="300"/>
      <c r="D102" s="300"/>
      <c r="E102" s="300"/>
      <c r="F102" s="300"/>
      <c r="G102" s="300"/>
      <c r="H102" s="300"/>
      <c r="I102" s="301"/>
      <c r="J102" s="160"/>
      <c r="K102" s="160"/>
    </row>
    <row r="103" spans="1:9" ht="13.5">
      <c r="A103" s="302"/>
      <c r="B103" s="303"/>
      <c r="C103" s="303"/>
      <c r="D103" s="303"/>
      <c r="E103" s="303"/>
      <c r="F103" s="303"/>
      <c r="G103" s="303"/>
      <c r="H103" s="303"/>
      <c r="I103" s="304"/>
    </row>
    <row r="106" spans="1:3" ht="13.5">
      <c r="A106" s="148"/>
      <c r="C106" s="100" t="s">
        <v>81</v>
      </c>
    </row>
    <row r="107" ht="13.5">
      <c r="A107" s="100" t="s">
        <v>30</v>
      </c>
    </row>
    <row r="123" ht="13.5">
      <c r="I123" s="149">
        <v>1</v>
      </c>
    </row>
  </sheetData>
  <sheetProtection password="8CBB" sheet="1" selectLockedCells="1"/>
  <mergeCells count="13">
    <mergeCell ref="G30:I30"/>
    <mergeCell ref="G85:I90"/>
    <mergeCell ref="D39:I39"/>
    <mergeCell ref="A97:I103"/>
    <mergeCell ref="C8:D8"/>
    <mergeCell ref="A13:E13"/>
    <mergeCell ref="A61:I61"/>
    <mergeCell ref="A70:A72"/>
    <mergeCell ref="G9:H9"/>
    <mergeCell ref="H77:H81"/>
    <mergeCell ref="G24:H24"/>
    <mergeCell ref="D69:F69"/>
    <mergeCell ref="G13:I13"/>
  </mergeCells>
  <conditionalFormatting sqref="C93">
    <cfRule type="cellIs" priority="1" dxfId="2" operator="equal" stopIfTrue="1">
      <formula>"Pass"</formula>
    </cfRule>
    <cfRule type="cellIs" priority="2" dxfId="0" operator="equal" stopIfTrue="1">
      <formula>"Fail"</formula>
    </cfRule>
    <cfRule type="cellIs" priority="3" dxfId="0" operator="greaterThan" stopIfTrue="1">
      <formula>$C$92</formula>
    </cfRule>
  </conditionalFormatting>
  <dataValidations count="2">
    <dataValidation errorStyle="warning" type="list" allowBlank="1" showInputMessage="1" promptTitle="Assessment Rate" errorTitle="Invalid Mortgage Insurer" error="please select valid Mortgage Insurer" sqref="C27">
      <formula1>listMortgageInsurers</formula1>
    </dataValidation>
    <dataValidation errorStyle="warning" type="whole" operator="lessThanOrEqual" showInputMessage="1" showErrorMessage="1" promptTitle="I.O Term" prompt="Owner Occupied max 5 years&#10;Investment max 10 years&#10;" error="Must be investment" sqref="D31:D36">
      <formula1>10</formula1>
    </dataValidation>
  </dataValidations>
  <printOptions/>
  <pageMargins left="0.3937007874015748" right="0" top="0.15748031496062992" bottom="0.15748031496062992" header="0.31496062992125984" footer="0.31496062992125984"/>
  <pageSetup fitToHeight="1" fitToWidth="1" horizontalDpi="600" verticalDpi="600" orientation="portrait" paperSize="9" scale="49" r:id="rId3"/>
  <headerFooter alignWithMargins="0">
    <oddFooter>&amp;C&amp;F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7:IV68"/>
  <sheetViews>
    <sheetView showGridLines="0" zoomScale="85" zoomScaleNormal="85" zoomScalePageLayoutView="0" workbookViewId="0" topLeftCell="B1">
      <selection activeCell="B16" sqref="B16"/>
    </sheetView>
  </sheetViews>
  <sheetFormatPr defaultColWidth="9.140625" defaultRowHeight="12.75"/>
  <cols>
    <col min="1" max="1" width="23.57421875" style="0" customWidth="1"/>
    <col min="2" max="2" width="17.8515625" style="0" customWidth="1"/>
    <col min="3" max="6" width="18.140625" style="0" customWidth="1"/>
    <col min="7" max="7" width="16.00390625" style="0" customWidth="1"/>
    <col min="8" max="8" width="21.140625" style="0" customWidth="1"/>
    <col min="9" max="9" width="18.57421875" style="0" customWidth="1"/>
    <col min="10" max="10" width="16.8515625" style="244" customWidth="1"/>
    <col min="11" max="11" width="24.140625" style="244" hidden="1" customWidth="1"/>
    <col min="12" max="12" width="39.00390625" style="244" hidden="1" customWidth="1"/>
    <col min="13" max="13" width="29.28125" style="244" hidden="1" customWidth="1"/>
    <col min="14" max="14" width="32.57421875" style="0" hidden="1" customWidth="1"/>
    <col min="15" max="26" width="0" style="0" hidden="1" customWidth="1"/>
  </cols>
  <sheetData>
    <row r="7" spans="1:12" ht="23.25" customHeight="1">
      <c r="A7" s="333" t="s">
        <v>152</v>
      </c>
      <c r="B7" s="333"/>
      <c r="C7" s="333"/>
      <c r="D7" s="333"/>
      <c r="E7" s="333"/>
      <c r="F7" s="333"/>
      <c r="G7" s="333"/>
      <c r="H7" s="212"/>
      <c r="I7" s="212"/>
      <c r="J7" s="243"/>
      <c r="K7" s="243"/>
      <c r="L7" s="243"/>
    </row>
    <row r="9" spans="1:9" ht="14.25" customHeight="1">
      <c r="A9" s="334" t="s">
        <v>137</v>
      </c>
      <c r="B9" s="334"/>
      <c r="C9" s="334"/>
      <c r="D9" s="334"/>
      <c r="E9" s="334"/>
      <c r="F9" s="334"/>
      <c r="G9" s="334"/>
      <c r="H9" s="227"/>
      <c r="I9" s="227"/>
    </row>
    <row r="11" spans="1:12" ht="13.5">
      <c r="A11" s="117" t="s">
        <v>107</v>
      </c>
      <c r="B11" s="103"/>
      <c r="C11" s="103"/>
      <c r="D11" s="100"/>
      <c r="E11" s="100"/>
      <c r="F11" s="100"/>
      <c r="G11" s="100"/>
      <c r="H11" s="100"/>
      <c r="I11" s="100"/>
      <c r="J11" s="230"/>
      <c r="K11" s="230"/>
      <c r="L11" s="230"/>
    </row>
    <row r="12" spans="1:12" ht="13.5">
      <c r="A12" s="110"/>
      <c r="B12" s="110"/>
      <c r="C12" s="110"/>
      <c r="D12" s="100"/>
      <c r="E12" s="100"/>
      <c r="F12" s="100"/>
      <c r="G12" s="100"/>
      <c r="H12" s="100"/>
      <c r="I12" s="100"/>
      <c r="J12" s="230"/>
      <c r="K12" s="230"/>
      <c r="L12" s="230"/>
    </row>
    <row r="13" spans="1:7" ht="13.5">
      <c r="A13" s="110" t="s">
        <v>138</v>
      </c>
      <c r="B13" s="110"/>
      <c r="C13" s="110"/>
      <c r="D13" s="100"/>
      <c r="E13" s="100"/>
      <c r="F13" s="100"/>
      <c r="G13" s="100"/>
    </row>
    <row r="14" ht="13.5">
      <c r="L14" s="245"/>
    </row>
    <row r="15" spans="1:12" ht="42">
      <c r="A15" s="128"/>
      <c r="B15" s="129" t="s">
        <v>139</v>
      </c>
      <c r="C15" s="130" t="s">
        <v>140</v>
      </c>
      <c r="D15" s="130" t="s">
        <v>141</v>
      </c>
      <c r="E15" s="130" t="s">
        <v>165</v>
      </c>
      <c r="F15" s="130" t="s">
        <v>166</v>
      </c>
      <c r="G15" s="129" t="s">
        <v>173</v>
      </c>
      <c r="H15" s="129" t="s">
        <v>172</v>
      </c>
      <c r="I15" s="129" t="s">
        <v>174</v>
      </c>
      <c r="J15" s="129" t="s">
        <v>145</v>
      </c>
      <c r="K15" s="245" t="s">
        <v>168</v>
      </c>
      <c r="L15" s="245" t="s">
        <v>169</v>
      </c>
    </row>
    <row r="16" spans="1:12" ht="13.5">
      <c r="A16" s="150" t="s">
        <v>44</v>
      </c>
      <c r="B16" s="155"/>
      <c r="C16" s="222">
        <f>AUTO_GrossIncome</f>
        <v>0</v>
      </c>
      <c r="D16" s="158"/>
      <c r="E16" s="158"/>
      <c r="F16" s="158"/>
      <c r="G16" s="158"/>
      <c r="H16" s="158"/>
      <c r="I16" s="158"/>
      <c r="J16" s="222">
        <f>SUM(D16*K16,E16*L16,F16*L16,G16*L16,H16,I16*L16)</f>
        <v>0</v>
      </c>
      <c r="K16" s="246">
        <f aca="true" t="shared" si="0" ref="K16:L20">IF(AUTO_MortgageInsurer="Specialist",1,0.8)</f>
        <v>0.8</v>
      </c>
      <c r="L16" s="246">
        <f t="shared" si="0"/>
        <v>0.8</v>
      </c>
    </row>
    <row r="17" spans="1:12" ht="13.5">
      <c r="A17" s="100" t="s">
        <v>45</v>
      </c>
      <c r="B17" s="155"/>
      <c r="C17" s="222">
        <f>AUTO_GrossIncome2</f>
        <v>0</v>
      </c>
      <c r="D17" s="158"/>
      <c r="E17" s="158"/>
      <c r="F17" s="158"/>
      <c r="G17" s="158"/>
      <c r="H17" s="158"/>
      <c r="I17" s="158"/>
      <c r="J17" s="222">
        <f>SUM(D17*K17,E17*L17,F17*L17,G17*L17,H17,I17*L17)</f>
        <v>0</v>
      </c>
      <c r="K17" s="246">
        <f t="shared" si="0"/>
        <v>0.8</v>
      </c>
      <c r="L17" s="246">
        <f t="shared" si="0"/>
        <v>0.8</v>
      </c>
    </row>
    <row r="18" spans="1:12" ht="13.5">
      <c r="A18" s="100" t="s">
        <v>46</v>
      </c>
      <c r="B18" s="155"/>
      <c r="C18" s="222">
        <f>AUTO_GrossIncome3</f>
        <v>0</v>
      </c>
      <c r="D18" s="158"/>
      <c r="E18" s="158"/>
      <c r="F18" s="158"/>
      <c r="G18" s="158"/>
      <c r="H18" s="158"/>
      <c r="I18" s="158"/>
      <c r="J18" s="222">
        <f>SUM(D18*K18,E18*L18,F18*L18,G18*L18,H18,I18*L18)</f>
        <v>0</v>
      </c>
      <c r="K18" s="246">
        <f t="shared" si="0"/>
        <v>0.8</v>
      </c>
      <c r="L18" s="246">
        <f t="shared" si="0"/>
        <v>0.8</v>
      </c>
    </row>
    <row r="19" spans="1:12" ht="13.5">
      <c r="A19" s="100" t="s">
        <v>47</v>
      </c>
      <c r="B19" s="155"/>
      <c r="C19" s="222">
        <f>AUTO_GrossIncome4</f>
        <v>0</v>
      </c>
      <c r="D19" s="158"/>
      <c r="E19" s="158"/>
      <c r="F19" s="158"/>
      <c r="G19" s="158"/>
      <c r="H19" s="158"/>
      <c r="I19" s="158"/>
      <c r="J19" s="222">
        <f>SUM(D19*K19,E19*L19,F19*L19,G19*L19,H19,I19*L19)</f>
        <v>0</v>
      </c>
      <c r="K19" s="246">
        <f t="shared" si="0"/>
        <v>0.8</v>
      </c>
      <c r="L19" s="246">
        <f t="shared" si="0"/>
        <v>0.8</v>
      </c>
    </row>
    <row r="20" spans="1:12" ht="13.5">
      <c r="A20" s="110" t="s">
        <v>42</v>
      </c>
      <c r="B20" s="132"/>
      <c r="C20" s="234">
        <f>Calculator!C51</f>
        <v>0</v>
      </c>
      <c r="D20" s="233">
        <f aca="true" t="shared" si="1" ref="D20:J20">SUM(D16:D19)</f>
        <v>0</v>
      </c>
      <c r="E20" s="233">
        <f t="shared" si="1"/>
        <v>0</v>
      </c>
      <c r="F20" s="233">
        <f t="shared" si="1"/>
        <v>0</v>
      </c>
      <c r="G20" s="233">
        <f t="shared" si="1"/>
        <v>0</v>
      </c>
      <c r="H20" s="233">
        <f t="shared" si="1"/>
        <v>0</v>
      </c>
      <c r="I20" s="233">
        <f t="shared" si="1"/>
        <v>0</v>
      </c>
      <c r="J20" s="234">
        <f t="shared" si="1"/>
        <v>0</v>
      </c>
      <c r="K20" s="246">
        <f t="shared" si="0"/>
        <v>0.8</v>
      </c>
      <c r="L20" s="246">
        <f t="shared" si="0"/>
        <v>0.8</v>
      </c>
    </row>
    <row r="25" ht="12">
      <c r="C25" s="241"/>
    </row>
    <row r="26" spans="3:256" ht="12">
      <c r="C26" s="240"/>
      <c r="D26" s="240"/>
      <c r="E26" s="240"/>
      <c r="F26" s="236"/>
      <c r="IV26" s="240"/>
    </row>
    <row r="27" spans="5:6" ht="12">
      <c r="E27" s="237"/>
      <c r="F27" s="238"/>
    </row>
    <row r="28" spans="5:6" ht="12">
      <c r="E28" s="235"/>
      <c r="F28" s="238"/>
    </row>
    <row r="29" spans="5:6" ht="12">
      <c r="E29" s="239"/>
      <c r="F29" s="240"/>
    </row>
    <row r="39" spans="5:6" ht="12">
      <c r="E39" s="240"/>
      <c r="F39" s="240"/>
    </row>
    <row r="68" ht="12">
      <c r="C68">
        <v>0</v>
      </c>
    </row>
  </sheetData>
  <sheetProtection password="8CBB" sheet="1" selectLockedCells="1"/>
  <mergeCells count="2">
    <mergeCell ref="A7:G7"/>
    <mergeCell ref="A9:G9"/>
  </mergeCells>
  <printOptions/>
  <pageMargins left="0.7" right="0.7" top="0.75" bottom="0.75" header="0.3" footer="0.3"/>
  <pageSetup fitToHeight="1" fitToWidth="1" horizontalDpi="600" verticalDpi="600" orientation="portrait" paperSize="216" scale="5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66"/>
  <sheetViews>
    <sheetView showGridLines="0" zoomScalePageLayoutView="0" workbookViewId="0" topLeftCell="A4">
      <selection activeCell="G24" sqref="G24"/>
    </sheetView>
  </sheetViews>
  <sheetFormatPr defaultColWidth="9.140625" defaultRowHeight="12.75"/>
  <cols>
    <col min="1" max="1" width="17.57421875" style="0" customWidth="1"/>
    <col min="2" max="2" width="13.7109375" style="4" customWidth="1"/>
    <col min="3" max="3" width="13.7109375" style="0" customWidth="1"/>
    <col min="4" max="4" width="14.7109375" style="0" customWidth="1"/>
    <col min="5" max="5" width="21.140625" style="0" bestFit="1" customWidth="1"/>
    <col min="6" max="6" width="23.00390625" style="0" bestFit="1" customWidth="1"/>
    <col min="7" max="9" width="13.7109375" style="0" customWidth="1"/>
    <col min="10" max="10" width="8.28125" style="0" hidden="1" customWidth="1"/>
    <col min="11" max="11" width="20.28125" style="0" hidden="1" customWidth="1"/>
    <col min="12" max="13" width="16.8515625" style="0" hidden="1" customWidth="1"/>
    <col min="14" max="16" width="9.140625" style="0" hidden="1" customWidth="1"/>
  </cols>
  <sheetData>
    <row r="1" spans="1:15" ht="12.75">
      <c r="A1" s="11"/>
      <c r="B1" s="14"/>
      <c r="C1" s="11"/>
      <c r="D1" s="12"/>
      <c r="E1" s="11"/>
      <c r="F1" s="11"/>
      <c r="G1" s="11"/>
      <c r="H1" s="11"/>
      <c r="I1" s="11"/>
      <c r="J1" s="11"/>
      <c r="K1" s="11"/>
      <c r="L1" s="41"/>
      <c r="M1" s="41"/>
      <c r="N1" s="41"/>
      <c r="O1" s="41"/>
    </row>
    <row r="2" spans="1:15" ht="13.5">
      <c r="A2" s="29" t="s">
        <v>71</v>
      </c>
      <c r="B2" s="14"/>
      <c r="C2" s="73" t="s">
        <v>72</v>
      </c>
      <c r="E2" s="74" t="s">
        <v>155</v>
      </c>
      <c r="F2" s="198" t="s">
        <v>128</v>
      </c>
      <c r="G2" s="199"/>
      <c r="H2" s="198" t="s">
        <v>125</v>
      </c>
      <c r="I2" s="11"/>
      <c r="J2" s="23"/>
      <c r="K2" s="11"/>
      <c r="L2" s="41"/>
      <c r="M2" s="198" t="s">
        <v>151</v>
      </c>
      <c r="N2" s="41"/>
      <c r="O2" s="41"/>
    </row>
    <row r="3" spans="1:15" ht="12.75">
      <c r="A3" s="13"/>
      <c r="B3" s="14"/>
      <c r="C3" s="27"/>
      <c r="D3" s="12"/>
      <c r="E3" s="16"/>
      <c r="F3" s="199" t="s">
        <v>123</v>
      </c>
      <c r="G3" s="199"/>
      <c r="H3" s="199" t="s">
        <v>126</v>
      </c>
      <c r="I3" s="11"/>
      <c r="J3" s="24"/>
      <c r="K3" s="24"/>
      <c r="L3" s="41"/>
      <c r="M3" s="223" t="s">
        <v>149</v>
      </c>
      <c r="N3" s="41"/>
      <c r="O3" s="41"/>
    </row>
    <row r="4" spans="1:15" ht="12.75">
      <c r="A4" s="18" t="s">
        <v>58</v>
      </c>
      <c r="B4" s="31"/>
      <c r="C4" s="225">
        <v>20947.94</v>
      </c>
      <c r="D4" s="17"/>
      <c r="E4" s="25"/>
      <c r="F4" s="199" t="s">
        <v>124</v>
      </c>
      <c r="G4" s="199"/>
      <c r="H4" s="199" t="s">
        <v>127</v>
      </c>
      <c r="I4" s="26"/>
      <c r="J4" s="26"/>
      <c r="K4" s="26"/>
      <c r="L4" s="41"/>
      <c r="M4" s="223" t="s">
        <v>150</v>
      </c>
      <c r="N4" s="41"/>
      <c r="O4" s="41"/>
    </row>
    <row r="5" spans="1:15" ht="12.75">
      <c r="A5" s="18" t="s">
        <v>59</v>
      </c>
      <c r="B5" s="31"/>
      <c r="C5" s="225">
        <v>30453.74</v>
      </c>
      <c r="D5" s="17"/>
      <c r="E5" s="27"/>
      <c r="F5" s="15"/>
      <c r="G5" s="16"/>
      <c r="H5" s="16"/>
      <c r="I5" s="26"/>
      <c r="J5" s="26"/>
      <c r="K5" s="26"/>
      <c r="L5" s="41"/>
      <c r="M5" s="41"/>
      <c r="N5" s="41"/>
      <c r="O5" s="41"/>
    </row>
    <row r="6" spans="1:15" ht="12.75">
      <c r="A6" s="18"/>
      <c r="B6" s="31"/>
      <c r="C6" s="225"/>
      <c r="D6" s="19"/>
      <c r="E6" s="27"/>
      <c r="F6" s="15"/>
      <c r="G6" s="16"/>
      <c r="H6" s="16"/>
      <c r="I6" s="14"/>
      <c r="J6" s="26"/>
      <c r="K6" s="26"/>
      <c r="L6" s="41"/>
      <c r="M6" s="41"/>
      <c r="N6" s="41"/>
      <c r="O6" s="41"/>
    </row>
    <row r="7" spans="1:15" ht="12.75">
      <c r="A7" s="18" t="s">
        <v>31</v>
      </c>
      <c r="B7" s="31">
        <v>0</v>
      </c>
      <c r="C7" s="226">
        <v>0</v>
      </c>
      <c r="D7" s="20"/>
      <c r="E7" s="27"/>
      <c r="F7" s="15"/>
      <c r="G7" s="5"/>
      <c r="H7" s="5"/>
      <c r="I7" s="26"/>
      <c r="J7" s="11"/>
      <c r="K7" s="24"/>
      <c r="L7" s="41"/>
      <c r="M7" s="41"/>
      <c r="N7" s="41"/>
      <c r="O7" s="41"/>
    </row>
    <row r="8" spans="1:15" ht="12.75">
      <c r="A8" s="18"/>
      <c r="B8" s="31">
        <v>1</v>
      </c>
      <c r="C8" s="225">
        <v>7402.04</v>
      </c>
      <c r="D8" s="20"/>
      <c r="E8" s="27"/>
      <c r="F8" s="15"/>
      <c r="G8" s="16"/>
      <c r="H8" s="16"/>
      <c r="I8" s="20"/>
      <c r="J8" s="28"/>
      <c r="K8" s="24" t="s">
        <v>146</v>
      </c>
      <c r="L8" s="228" t="s">
        <v>147</v>
      </c>
      <c r="M8" s="228" t="s">
        <v>148</v>
      </c>
      <c r="N8" s="228" t="s">
        <v>167</v>
      </c>
      <c r="O8" s="41"/>
    </row>
    <row r="9" spans="1:15" ht="12.75">
      <c r="A9" s="11"/>
      <c r="B9" s="32">
        <v>2</v>
      </c>
      <c r="C9" s="225">
        <f>$C$8*B9</f>
        <v>14804.08</v>
      </c>
      <c r="D9" s="21"/>
      <c r="E9" s="11"/>
      <c r="F9" s="14"/>
      <c r="G9" s="16"/>
      <c r="H9" s="16"/>
      <c r="I9" s="20"/>
      <c r="J9" s="28"/>
      <c r="K9" s="223" t="s">
        <v>142</v>
      </c>
      <c r="L9" s="223" t="s">
        <v>149</v>
      </c>
      <c r="M9" s="223">
        <v>0.8</v>
      </c>
      <c r="N9" s="223">
        <v>0.8</v>
      </c>
      <c r="O9" s="41"/>
    </row>
    <row r="10" spans="1:14" ht="12.75">
      <c r="A10" s="11"/>
      <c r="B10" s="32">
        <v>3</v>
      </c>
      <c r="C10" s="225">
        <f aca="true" t="shared" si="0" ref="C10:C22">$C$8*B10</f>
        <v>22206.12</v>
      </c>
      <c r="D10" s="14"/>
      <c r="E10" s="11"/>
      <c r="F10" s="14"/>
      <c r="G10" s="16"/>
      <c r="H10" s="16"/>
      <c r="I10" s="20"/>
      <c r="J10" s="28"/>
      <c r="K10" s="223" t="s">
        <v>142</v>
      </c>
      <c r="L10" s="229" t="s">
        <v>150</v>
      </c>
      <c r="M10" s="229">
        <v>0.8</v>
      </c>
      <c r="N10" s="229">
        <v>0.8</v>
      </c>
    </row>
    <row r="11" spans="1:15" ht="12.75">
      <c r="A11" s="5"/>
      <c r="B11" s="31">
        <v>4</v>
      </c>
      <c r="C11" s="225">
        <f t="shared" si="0"/>
        <v>29608.16</v>
      </c>
      <c r="D11" s="14"/>
      <c r="E11" s="5"/>
      <c r="F11" s="15"/>
      <c r="G11" s="16"/>
      <c r="H11" s="16"/>
      <c r="I11" s="20"/>
      <c r="J11" s="28"/>
      <c r="K11" s="223" t="s">
        <v>143</v>
      </c>
      <c r="L11" s="223" t="s">
        <v>149</v>
      </c>
      <c r="M11" s="223">
        <v>1</v>
      </c>
      <c r="N11" s="223">
        <v>1</v>
      </c>
      <c r="O11" s="41"/>
    </row>
    <row r="12" spans="1:15" ht="12.75">
      <c r="A12" s="5"/>
      <c r="B12" s="31">
        <v>5</v>
      </c>
      <c r="C12" s="225">
        <f t="shared" si="0"/>
        <v>37010.2</v>
      </c>
      <c r="D12" s="14"/>
      <c r="E12" s="5"/>
      <c r="F12" s="15"/>
      <c r="G12" s="16"/>
      <c r="H12" s="16"/>
      <c r="I12" s="20"/>
      <c r="J12" s="28"/>
      <c r="K12" s="223" t="s">
        <v>143</v>
      </c>
      <c r="L12" s="223" t="s">
        <v>150</v>
      </c>
      <c r="M12" s="223">
        <v>1</v>
      </c>
      <c r="N12" s="223">
        <v>1</v>
      </c>
      <c r="O12" s="41"/>
    </row>
    <row r="13" spans="1:15" ht="12.75">
      <c r="A13" s="5"/>
      <c r="B13" s="31">
        <v>6</v>
      </c>
      <c r="C13" s="225">
        <f t="shared" si="0"/>
        <v>44412.24</v>
      </c>
      <c r="D13" s="14"/>
      <c r="E13" s="5"/>
      <c r="F13" s="15"/>
      <c r="G13" s="16"/>
      <c r="H13" s="16"/>
      <c r="I13" s="20"/>
      <c r="J13" s="28"/>
      <c r="K13" s="24"/>
      <c r="L13" s="41"/>
      <c r="M13" s="41"/>
      <c r="N13" s="41"/>
      <c r="O13" s="41"/>
    </row>
    <row r="14" spans="1:15" ht="12.75">
      <c r="A14" s="5"/>
      <c r="B14" s="31">
        <v>7</v>
      </c>
      <c r="C14" s="225">
        <f t="shared" si="0"/>
        <v>51814.28</v>
      </c>
      <c r="D14" s="14"/>
      <c r="E14" s="5"/>
      <c r="F14" s="15"/>
      <c r="G14" s="16"/>
      <c r="H14" s="16"/>
      <c r="I14" s="20"/>
      <c r="J14" s="28"/>
      <c r="K14" s="24"/>
      <c r="L14" s="228"/>
      <c r="M14" s="41"/>
      <c r="N14" s="41"/>
      <c r="O14" s="41"/>
    </row>
    <row r="15" spans="1:15" ht="12.75">
      <c r="A15" s="5"/>
      <c r="B15" s="31">
        <v>8</v>
      </c>
      <c r="C15" s="225">
        <f t="shared" si="0"/>
        <v>59216.32</v>
      </c>
      <c r="D15" s="14"/>
      <c r="E15" s="5"/>
      <c r="F15" s="15"/>
      <c r="G15" s="16"/>
      <c r="H15" s="16"/>
      <c r="I15" s="20"/>
      <c r="J15" s="28"/>
      <c r="K15" s="223"/>
      <c r="L15" s="223"/>
      <c r="M15" s="41"/>
      <c r="N15" s="41"/>
      <c r="O15" s="41"/>
    </row>
    <row r="16" spans="1:15" ht="12.75">
      <c r="A16" s="5"/>
      <c r="B16" s="31">
        <v>9</v>
      </c>
      <c r="C16" s="225">
        <f t="shared" si="0"/>
        <v>66618.36</v>
      </c>
      <c r="D16" s="14"/>
      <c r="E16" s="5"/>
      <c r="F16" s="15"/>
      <c r="G16" s="16"/>
      <c r="H16" s="16"/>
      <c r="I16" s="20"/>
      <c r="J16" s="28"/>
      <c r="K16" s="223"/>
      <c r="L16" s="223"/>
      <c r="M16" s="41"/>
      <c r="N16" s="41"/>
      <c r="O16" s="41"/>
    </row>
    <row r="17" spans="1:15" ht="12.75">
      <c r="A17" s="5"/>
      <c r="B17" s="31">
        <v>10</v>
      </c>
      <c r="C17" s="225">
        <f t="shared" si="0"/>
        <v>74020.4</v>
      </c>
      <c r="D17" s="14"/>
      <c r="E17" s="5"/>
      <c r="F17" s="15"/>
      <c r="G17" s="16"/>
      <c r="H17" s="16"/>
      <c r="I17" s="20"/>
      <c r="J17" s="28"/>
      <c r="K17" s="24"/>
      <c r="L17" s="41"/>
      <c r="M17" s="41"/>
      <c r="N17" s="41"/>
      <c r="O17" s="41"/>
    </row>
    <row r="18" spans="1:15" ht="13.5">
      <c r="A18" s="5"/>
      <c r="B18" s="31">
        <v>11</v>
      </c>
      <c r="C18" s="225">
        <f t="shared" si="0"/>
        <v>81422.44</v>
      </c>
      <c r="D18" s="14"/>
      <c r="E18" s="5"/>
      <c r="F18" s="339" t="s">
        <v>79</v>
      </c>
      <c r="G18" s="340"/>
      <c r="H18" s="340"/>
      <c r="I18" s="341"/>
      <c r="J18" s="28"/>
      <c r="K18" s="24" t="s">
        <v>177</v>
      </c>
      <c r="L18" s="41"/>
      <c r="M18" s="41"/>
      <c r="N18" s="41"/>
      <c r="O18" s="41"/>
    </row>
    <row r="19" spans="1:16" ht="12.75">
      <c r="A19" s="5"/>
      <c r="B19" s="31">
        <v>12</v>
      </c>
      <c r="C19" s="225">
        <f t="shared" si="0"/>
        <v>88824.48</v>
      </c>
      <c r="D19" s="14"/>
      <c r="E19" s="5"/>
      <c r="F19" s="44" t="s">
        <v>76</v>
      </c>
      <c r="G19" s="45" t="s">
        <v>73</v>
      </c>
      <c r="H19" s="45" t="s">
        <v>78</v>
      </c>
      <c r="I19" s="46" t="s">
        <v>74</v>
      </c>
      <c r="J19" s="28"/>
      <c r="K19" s="26" t="s">
        <v>179</v>
      </c>
      <c r="L19" s="26" t="s">
        <v>180</v>
      </c>
      <c r="M19" s="271" t="s">
        <v>178</v>
      </c>
      <c r="N19" s="41"/>
      <c r="O19" s="41"/>
      <c r="P19" s="41"/>
    </row>
    <row r="20" spans="1:16" ht="12.75">
      <c r="A20" s="5"/>
      <c r="B20" s="31">
        <v>13</v>
      </c>
      <c r="C20" s="225">
        <f t="shared" si="0"/>
        <v>96226.52</v>
      </c>
      <c r="D20" s="14"/>
      <c r="E20" s="5"/>
      <c r="F20" s="87" t="s">
        <v>186</v>
      </c>
      <c r="G20" s="88">
        <v>0.0575</v>
      </c>
      <c r="H20" s="88">
        <v>0.03</v>
      </c>
      <c r="I20" s="89">
        <v>44527</v>
      </c>
      <c r="J20" s="28"/>
      <c r="K20" s="272">
        <v>1</v>
      </c>
      <c r="L20" s="272" t="s">
        <v>183</v>
      </c>
      <c r="M20" s="273">
        <v>1.25</v>
      </c>
      <c r="N20" s="223" t="s">
        <v>182</v>
      </c>
      <c r="O20" s="41"/>
      <c r="P20" s="41"/>
    </row>
    <row r="21" spans="1:16" ht="12.75">
      <c r="A21" s="5"/>
      <c r="B21" s="31">
        <v>14</v>
      </c>
      <c r="C21" s="225">
        <f t="shared" si="0"/>
        <v>103628.56</v>
      </c>
      <c r="D21" s="14"/>
      <c r="E21" s="5"/>
      <c r="F21" s="90" t="s">
        <v>187</v>
      </c>
      <c r="G21" s="88">
        <v>0.0575</v>
      </c>
      <c r="H21" s="88">
        <v>0.03</v>
      </c>
      <c r="I21" s="89">
        <v>44527</v>
      </c>
      <c r="J21" s="28"/>
      <c r="K21" s="272">
        <v>1.25</v>
      </c>
      <c r="L21" s="272" t="s">
        <v>181</v>
      </c>
      <c r="M21" s="273">
        <v>1.25</v>
      </c>
      <c r="N21" s="223" t="s">
        <v>181</v>
      </c>
      <c r="O21" s="41"/>
      <c r="P21" s="41"/>
    </row>
    <row r="22" spans="1:16" ht="12.75">
      <c r="A22" s="11"/>
      <c r="B22" s="32">
        <v>15</v>
      </c>
      <c r="C22" s="225">
        <f t="shared" si="0"/>
        <v>111030.6</v>
      </c>
      <c r="D22" s="14"/>
      <c r="E22" s="11"/>
      <c r="F22" s="292" t="s">
        <v>157</v>
      </c>
      <c r="G22" s="293">
        <v>0.0575</v>
      </c>
      <c r="H22" s="293">
        <v>0.03</v>
      </c>
      <c r="I22" s="294">
        <v>44527</v>
      </c>
      <c r="J22" s="28"/>
      <c r="K22" s="272">
        <v>1</v>
      </c>
      <c r="L22" s="272" t="s">
        <v>183</v>
      </c>
      <c r="M22" s="273">
        <v>1</v>
      </c>
      <c r="N22" s="223" t="s">
        <v>183</v>
      </c>
      <c r="O22" s="41"/>
      <c r="P22" s="41"/>
    </row>
    <row r="23" spans="1:16" ht="12.75">
      <c r="A23" s="5"/>
      <c r="B23" s="15"/>
      <c r="C23" s="5"/>
      <c r="D23" s="14"/>
      <c r="E23" s="14"/>
      <c r="F23" s="289"/>
      <c r="G23" s="290"/>
      <c r="H23" s="290"/>
      <c r="I23" s="291"/>
      <c r="J23" s="11"/>
      <c r="K23" s="274">
        <v>1</v>
      </c>
      <c r="L23" s="274" t="s">
        <v>183</v>
      </c>
      <c r="M23" s="273">
        <v>1.25</v>
      </c>
      <c r="N23" s="223" t="s">
        <v>182</v>
      </c>
      <c r="O23" s="41"/>
      <c r="P23" s="41"/>
    </row>
    <row r="24" spans="1:16" ht="12.75">
      <c r="A24" s="11"/>
      <c r="B24" s="14"/>
      <c r="C24" s="11"/>
      <c r="D24" s="14"/>
      <c r="E24" s="14"/>
      <c r="F24" s="289"/>
      <c r="G24" s="290"/>
      <c r="H24" s="290"/>
      <c r="I24" s="291"/>
      <c r="J24" s="11"/>
      <c r="K24" s="274">
        <v>1</v>
      </c>
      <c r="L24" s="274" t="s">
        <v>183</v>
      </c>
      <c r="M24" s="273">
        <v>1</v>
      </c>
      <c r="N24" s="223" t="s">
        <v>183</v>
      </c>
      <c r="O24" s="41"/>
      <c r="P24" s="41"/>
    </row>
    <row r="25" spans="1:15" ht="12.75">
      <c r="A25" s="11" t="s">
        <v>62</v>
      </c>
      <c r="B25" s="14"/>
      <c r="C25" s="33">
        <v>0.038</v>
      </c>
      <c r="D25" s="15"/>
      <c r="E25" s="15"/>
      <c r="F25" s="15"/>
      <c r="G25" s="15"/>
      <c r="H25" s="15"/>
      <c r="I25" s="14"/>
      <c r="J25" s="5"/>
      <c r="K25" s="5"/>
      <c r="L25" s="41"/>
      <c r="M25" s="41"/>
      <c r="N25" s="41"/>
      <c r="O25" s="41"/>
    </row>
    <row r="26" spans="1:15" ht="12.75">
      <c r="A26" s="11"/>
      <c r="B26" s="14"/>
      <c r="C26" s="11"/>
      <c r="D26" s="22"/>
      <c r="E26" s="5"/>
      <c r="F26" s="254"/>
      <c r="G26" s="254"/>
      <c r="H26" s="254"/>
      <c r="I26" s="254"/>
      <c r="J26" s="5"/>
      <c r="K26" s="5"/>
      <c r="L26" s="41"/>
      <c r="M26" s="41"/>
      <c r="N26" s="41"/>
      <c r="O26" s="41"/>
    </row>
    <row r="27" spans="1:15" ht="12.75">
      <c r="A27" s="5"/>
      <c r="B27" s="1"/>
      <c r="C27" s="2"/>
      <c r="D27" s="3"/>
      <c r="E27" s="2"/>
      <c r="F27" s="255"/>
      <c r="G27" s="254"/>
      <c r="H27" s="254"/>
      <c r="I27" s="254"/>
      <c r="J27" s="5"/>
      <c r="K27" s="5"/>
      <c r="L27" s="41"/>
      <c r="M27" s="41"/>
      <c r="N27" s="41"/>
      <c r="O27" s="41"/>
    </row>
    <row r="28" spans="1:28" ht="13.5">
      <c r="A28" s="5"/>
      <c r="B28" s="336" t="s">
        <v>77</v>
      </c>
      <c r="C28" s="337"/>
      <c r="D28" s="338"/>
      <c r="E28" s="2"/>
      <c r="F28" s="335" t="s">
        <v>87</v>
      </c>
      <c r="G28" s="335"/>
      <c r="H28" s="335"/>
      <c r="I28" s="335"/>
      <c r="J28" s="5"/>
      <c r="K28" s="5"/>
      <c r="L28" s="41"/>
      <c r="M28" s="41"/>
      <c r="N28" s="41"/>
      <c r="O28" s="4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ht="12.75">
      <c r="A29" s="5"/>
      <c r="B29" s="48" t="s">
        <v>32</v>
      </c>
      <c r="C29" s="49" t="s">
        <v>33</v>
      </c>
      <c r="D29" s="47" t="s">
        <v>34</v>
      </c>
      <c r="E29" s="7"/>
      <c r="F29" s="252" t="s">
        <v>32</v>
      </c>
      <c r="G29" s="253" t="s">
        <v>33</v>
      </c>
      <c r="H29" s="253"/>
      <c r="I29" s="258" t="s">
        <v>34</v>
      </c>
      <c r="J29" s="5"/>
      <c r="K29" s="5"/>
      <c r="L29" s="41"/>
      <c r="M29" s="41"/>
      <c r="N29" s="41"/>
      <c r="O29" s="41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1:28" ht="12.75">
      <c r="A30" s="5"/>
      <c r="B30" s="91">
        <v>0</v>
      </c>
      <c r="C30" s="92">
        <v>0</v>
      </c>
      <c r="D30" s="93">
        <v>0.02</v>
      </c>
      <c r="E30" s="7"/>
      <c r="F30" s="259">
        <v>0</v>
      </c>
      <c r="G30" s="254">
        <v>0</v>
      </c>
      <c r="H30" s="254"/>
      <c r="I30" s="260">
        <v>0</v>
      </c>
      <c r="J30" s="5"/>
      <c r="K30" s="5"/>
      <c r="L30" s="41"/>
      <c r="M30" s="41"/>
      <c r="N30" s="41"/>
      <c r="O30" s="41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ht="12.75">
      <c r="A31" s="5"/>
      <c r="B31" s="94">
        <v>18200</v>
      </c>
      <c r="C31" s="95">
        <f>C30+D30*(B31-B30)</f>
        <v>364</v>
      </c>
      <c r="D31" s="96">
        <v>0.21</v>
      </c>
      <c r="E31" s="7"/>
      <c r="F31" s="261">
        <v>18200</v>
      </c>
      <c r="G31" s="256">
        <f>G30+I30*(F31-F30)</f>
        <v>0</v>
      </c>
      <c r="H31" s="256"/>
      <c r="I31" s="262">
        <v>0.19</v>
      </c>
      <c r="J31" s="5"/>
      <c r="K31" s="5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ht="12.75">
      <c r="A32" s="5"/>
      <c r="B32" s="94">
        <v>45000</v>
      </c>
      <c r="C32" s="95">
        <f>C31+D31*(B32-B31)</f>
        <v>5992</v>
      </c>
      <c r="D32" s="96">
        <v>0.345</v>
      </c>
      <c r="E32" s="7"/>
      <c r="F32" s="261">
        <v>37000</v>
      </c>
      <c r="G32" s="256">
        <f>G31+I31*(F32-F31)</f>
        <v>3572</v>
      </c>
      <c r="H32" s="256"/>
      <c r="I32" s="262">
        <v>0.325</v>
      </c>
      <c r="J32" s="5"/>
      <c r="K32" s="5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ht="12.75">
      <c r="A33" s="5"/>
      <c r="B33" s="94">
        <v>120000</v>
      </c>
      <c r="C33" s="95">
        <f>C32+D32*(B33-B32)</f>
        <v>31866.999999999996</v>
      </c>
      <c r="D33" s="96">
        <v>0.39</v>
      </c>
      <c r="E33" s="7"/>
      <c r="F33" s="261">
        <v>90000</v>
      </c>
      <c r="G33" s="256">
        <f>G32+I32*(F33-F32)</f>
        <v>20797</v>
      </c>
      <c r="H33" s="256"/>
      <c r="I33" s="262">
        <v>0.37</v>
      </c>
      <c r="J33" s="5"/>
      <c r="K33" s="5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ht="12.75">
      <c r="A34" s="6"/>
      <c r="B34" s="97">
        <v>180000</v>
      </c>
      <c r="C34" s="98">
        <f>C33+D33*(B34-B33)</f>
        <v>55267</v>
      </c>
      <c r="D34" s="99">
        <v>0.47</v>
      </c>
      <c r="E34" s="7"/>
      <c r="F34" s="261">
        <v>180000</v>
      </c>
      <c r="G34" s="256">
        <f>G33+I33*(F34-F33)</f>
        <v>54097</v>
      </c>
      <c r="H34" s="256"/>
      <c r="I34" s="262">
        <v>0.45</v>
      </c>
      <c r="J34" s="5"/>
      <c r="K34" s="5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ht="13.5" thickBot="1">
      <c r="A35" s="8"/>
      <c r="B35" s="9"/>
      <c r="C35" s="8"/>
      <c r="D35" s="10"/>
      <c r="E35" s="7"/>
      <c r="F35" s="263"/>
      <c r="G35" s="199"/>
      <c r="H35" s="199"/>
      <c r="I35" s="199"/>
      <c r="J35" s="5"/>
      <c r="K35" s="5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1:28" ht="13.5" thickBot="1">
      <c r="A36" s="42"/>
      <c r="B36" s="43"/>
      <c r="C36" s="50" t="s">
        <v>25</v>
      </c>
      <c r="D36" s="51" t="s">
        <v>26</v>
      </c>
      <c r="E36" s="52" t="s">
        <v>4</v>
      </c>
      <c r="F36" s="257" t="s">
        <v>5</v>
      </c>
      <c r="G36" s="30"/>
      <c r="H36" s="30"/>
      <c r="I36" s="30"/>
      <c r="J36" s="5"/>
      <c r="K36" s="5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ht="13.5" thickBot="1">
      <c r="A37" s="64"/>
      <c r="B37" s="53" t="s">
        <v>35</v>
      </c>
      <c r="C37" s="54">
        <f>Calculator!H47</f>
        <v>0</v>
      </c>
      <c r="D37" s="55">
        <f>Calculator!H48</f>
        <v>0</v>
      </c>
      <c r="E37" s="55">
        <f>Calculator!H49</f>
        <v>0</v>
      </c>
      <c r="F37" s="55">
        <f>Calculator!H50</f>
        <v>0</v>
      </c>
      <c r="G37" s="30"/>
      <c r="H37" s="30"/>
      <c r="I37" s="30"/>
      <c r="J37" s="5"/>
      <c r="K37" s="5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ht="12.75">
      <c r="A38" s="34"/>
      <c r="B38" s="35"/>
      <c r="C38" s="36"/>
      <c r="D38" s="37"/>
      <c r="E38" s="37"/>
      <c r="F38" s="38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12">
      <c r="A39" s="56"/>
      <c r="B39" s="62" t="s">
        <v>32</v>
      </c>
      <c r="C39" s="59">
        <f>VLOOKUP(C37,$B$30:$D$34,1)</f>
        <v>0</v>
      </c>
      <c r="D39" s="59">
        <f>VLOOKUP(D37,$B$30:$D$34,1)</f>
        <v>0</v>
      </c>
      <c r="E39" s="59">
        <f>VLOOKUP(E37,$B$30:$D$34,1)</f>
        <v>0</v>
      </c>
      <c r="F39" s="59">
        <f>VLOOKUP(F37,$B$30:$D$34,1)</f>
        <v>0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ht="12">
      <c r="A40" s="58"/>
      <c r="B40" s="58" t="s">
        <v>36</v>
      </c>
      <c r="C40" s="59">
        <f>VLOOKUP(C37,$B$30:$D$34,2)</f>
        <v>0</v>
      </c>
      <c r="D40" s="59">
        <f>VLOOKUP(D37,$B$30:$D$34,2)</f>
        <v>0</v>
      </c>
      <c r="E40" s="59">
        <f>VLOOKUP(E37,$B$30:$D$34,2)</f>
        <v>0</v>
      </c>
      <c r="F40" s="59">
        <f>VLOOKUP(F37,$B$30:$D$34,2)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12">
      <c r="A41" s="58"/>
      <c r="B41" s="58" t="s">
        <v>37</v>
      </c>
      <c r="C41" s="60">
        <f>VLOOKUP(C37,$B$30:$D$34,3)</f>
        <v>0.02</v>
      </c>
      <c r="D41" s="61">
        <f>VLOOKUP(D37,$B$30:$D$34,3)</f>
        <v>0.02</v>
      </c>
      <c r="E41" s="61">
        <f>VLOOKUP(E37,$B$30:$D$34,3)</f>
        <v>0.02</v>
      </c>
      <c r="F41" s="61">
        <f>VLOOKUP(F37,$B$30:$D$34,3)</f>
        <v>0.02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ht="12.75">
      <c r="A42" s="39"/>
      <c r="B42" s="39"/>
      <c r="C42" s="36"/>
      <c r="D42" s="37"/>
      <c r="E42" s="37"/>
      <c r="F42" s="38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ht="12">
      <c r="A43" s="63"/>
      <c r="B43" s="57" t="s">
        <v>38</v>
      </c>
      <c r="C43" s="59">
        <f>IF(C37&gt;0,C40+(C37-C39)*C41,0)</f>
        <v>0</v>
      </c>
      <c r="D43" s="59">
        <f>IF(D37&gt;0,D40+(D37-D39)*D41,0)</f>
        <v>0</v>
      </c>
      <c r="E43" s="59">
        <f>IF(E37&gt;0,E40+(E37-E39)*E41,0)</f>
        <v>0</v>
      </c>
      <c r="F43" s="59">
        <f>IF(F37&gt;0,F40+(F37-F39)*F41,0)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ht="12.75">
      <c r="A44" s="67"/>
      <c r="B44" s="67"/>
      <c r="C44" s="68"/>
      <c r="D44" s="69"/>
      <c r="E44" s="69"/>
      <c r="F44" s="7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ht="12.75">
      <c r="A45" s="71"/>
      <c r="B45" s="71"/>
      <c r="C45" s="71"/>
      <c r="D45" s="69"/>
      <c r="E45" s="69"/>
      <c r="F45" s="7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ht="13.5" thickBot="1">
      <c r="A46" s="65"/>
      <c r="B46" s="66" t="s">
        <v>75</v>
      </c>
      <c r="C46" s="72">
        <f>98.5%*C37-C43</f>
        <v>0</v>
      </c>
      <c r="D46" s="72">
        <f>98.5%*D37-D43</f>
        <v>0</v>
      </c>
      <c r="E46" s="72">
        <f>98.5%*E37-E43</f>
        <v>0</v>
      </c>
      <c r="F46" s="72">
        <f>98.5%*F37-F43</f>
        <v>0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ht="12.75" thickTop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ht="1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28" ht="1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</row>
    <row r="50" spans="1:28" ht="1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1:28" ht="1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1:28" ht="1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:28" ht="1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  <row r="54" spans="1:28" ht="1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</row>
    <row r="55" spans="1:28" ht="1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6" spans="1:28" ht="1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 ht="1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28" ht="1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ht="1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6" ht="12">
      <c r="A60" s="30"/>
      <c r="B60" s="30"/>
      <c r="C60" s="30"/>
      <c r="D60" s="30"/>
      <c r="E60" s="30"/>
      <c r="F60" s="30"/>
    </row>
    <row r="61" ht="12">
      <c r="B61"/>
    </row>
    <row r="62" ht="12">
      <c r="B62"/>
    </row>
    <row r="63" ht="12">
      <c r="B63"/>
    </row>
    <row r="64" ht="12">
      <c r="B64"/>
    </row>
    <row r="65" ht="12">
      <c r="B65"/>
    </row>
    <row r="66" ht="12">
      <c r="B66"/>
    </row>
  </sheetData>
  <sheetProtection password="8CBB" sheet="1" selectLockedCells="1" selectUnlockedCells="1"/>
  <mergeCells count="3">
    <mergeCell ref="F28:I28"/>
    <mergeCell ref="B28:D28"/>
    <mergeCell ref="F18:I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30"/>
  <sheetViews>
    <sheetView zoomScalePageLayoutView="0" workbookViewId="0" topLeftCell="A1">
      <selection activeCell="N39" sqref="N39"/>
    </sheetView>
  </sheetViews>
  <sheetFormatPr defaultColWidth="9.140625" defaultRowHeight="12.75"/>
  <cols>
    <col min="1" max="1" width="3.00390625" style="0" customWidth="1"/>
    <col min="11" max="11" width="3.28125" style="0" customWidth="1"/>
  </cols>
  <sheetData>
    <row r="1" spans="1:11" ht="1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2">
      <c r="A2" s="41"/>
      <c r="B2" s="75"/>
      <c r="C2" s="76"/>
      <c r="D2" s="76"/>
      <c r="E2" s="76"/>
      <c r="F2" s="76"/>
      <c r="G2" s="76"/>
      <c r="H2" s="76"/>
      <c r="I2" s="76"/>
      <c r="J2" s="77"/>
      <c r="K2" s="41"/>
    </row>
    <row r="3" spans="1:11" ht="12">
      <c r="A3" s="41"/>
      <c r="B3" s="345" t="s">
        <v>69</v>
      </c>
      <c r="C3" s="346"/>
      <c r="D3" s="346"/>
      <c r="E3" s="346"/>
      <c r="F3" s="346"/>
      <c r="G3" s="346"/>
      <c r="H3" s="346"/>
      <c r="I3" s="346"/>
      <c r="J3" s="347"/>
      <c r="K3" s="41"/>
    </row>
    <row r="4" spans="1:11" ht="12">
      <c r="A4" s="41"/>
      <c r="B4" s="348"/>
      <c r="C4" s="346"/>
      <c r="D4" s="346"/>
      <c r="E4" s="346"/>
      <c r="F4" s="346"/>
      <c r="G4" s="346"/>
      <c r="H4" s="346"/>
      <c r="I4" s="346"/>
      <c r="J4" s="347"/>
      <c r="K4" s="41"/>
    </row>
    <row r="5" spans="1:11" ht="12">
      <c r="A5" s="41"/>
      <c r="B5" s="78"/>
      <c r="C5" s="79"/>
      <c r="D5" s="79"/>
      <c r="E5" s="79"/>
      <c r="F5" s="79"/>
      <c r="G5" s="79"/>
      <c r="H5" s="79"/>
      <c r="I5" s="79"/>
      <c r="J5" s="80"/>
      <c r="K5" s="41"/>
    </row>
    <row r="6" spans="1:11" ht="12">
      <c r="A6" s="41"/>
      <c r="B6" s="342" t="s">
        <v>65</v>
      </c>
      <c r="C6" s="343"/>
      <c r="D6" s="343"/>
      <c r="E6" s="343"/>
      <c r="F6" s="343"/>
      <c r="G6" s="343"/>
      <c r="H6" s="343"/>
      <c r="I6" s="343"/>
      <c r="J6" s="344"/>
      <c r="K6" s="41"/>
    </row>
    <row r="7" spans="1:11" ht="12">
      <c r="A7" s="41"/>
      <c r="B7" s="342"/>
      <c r="C7" s="343"/>
      <c r="D7" s="343"/>
      <c r="E7" s="343"/>
      <c r="F7" s="343"/>
      <c r="G7" s="343"/>
      <c r="H7" s="343"/>
      <c r="I7" s="343"/>
      <c r="J7" s="344"/>
      <c r="K7" s="41"/>
    </row>
    <row r="8" spans="1:11" ht="12">
      <c r="A8" s="41"/>
      <c r="B8" s="81"/>
      <c r="C8" s="82"/>
      <c r="D8" s="82"/>
      <c r="E8" s="82"/>
      <c r="F8" s="82"/>
      <c r="G8" s="82"/>
      <c r="H8" s="82"/>
      <c r="I8" s="82"/>
      <c r="J8" s="83"/>
      <c r="K8" s="41"/>
    </row>
    <row r="9" spans="1:11" ht="12">
      <c r="A9" s="41"/>
      <c r="B9" s="342" t="s">
        <v>66</v>
      </c>
      <c r="C9" s="343"/>
      <c r="D9" s="343"/>
      <c r="E9" s="343"/>
      <c r="F9" s="343"/>
      <c r="G9" s="343"/>
      <c r="H9" s="343"/>
      <c r="I9" s="343"/>
      <c r="J9" s="344"/>
      <c r="K9" s="41"/>
    </row>
    <row r="10" spans="1:11" ht="12">
      <c r="A10" s="41"/>
      <c r="B10" s="342"/>
      <c r="C10" s="343"/>
      <c r="D10" s="343"/>
      <c r="E10" s="343"/>
      <c r="F10" s="343"/>
      <c r="G10" s="343"/>
      <c r="H10" s="343"/>
      <c r="I10" s="343"/>
      <c r="J10" s="344"/>
      <c r="K10" s="41"/>
    </row>
    <row r="11" spans="1:11" ht="12">
      <c r="A11" s="41"/>
      <c r="B11" s="81"/>
      <c r="C11" s="82"/>
      <c r="D11" s="82"/>
      <c r="E11" s="82"/>
      <c r="F11" s="82"/>
      <c r="G11" s="82"/>
      <c r="H11" s="82"/>
      <c r="I11" s="82"/>
      <c r="J11" s="83"/>
      <c r="K11" s="41"/>
    </row>
    <row r="12" spans="1:11" ht="12">
      <c r="A12" s="41"/>
      <c r="B12" s="342" t="s">
        <v>67</v>
      </c>
      <c r="C12" s="343"/>
      <c r="D12" s="343"/>
      <c r="E12" s="343"/>
      <c r="F12" s="343"/>
      <c r="G12" s="343"/>
      <c r="H12" s="343"/>
      <c r="I12" s="343"/>
      <c r="J12" s="344"/>
      <c r="K12" s="41"/>
    </row>
    <row r="13" spans="1:11" ht="12">
      <c r="A13" s="41"/>
      <c r="B13" s="342"/>
      <c r="C13" s="343"/>
      <c r="D13" s="343"/>
      <c r="E13" s="343"/>
      <c r="F13" s="343"/>
      <c r="G13" s="343"/>
      <c r="H13" s="343"/>
      <c r="I13" s="343"/>
      <c r="J13" s="344"/>
      <c r="K13" s="41"/>
    </row>
    <row r="14" spans="1:11" ht="12">
      <c r="A14" s="41"/>
      <c r="B14" s="78"/>
      <c r="C14" s="79"/>
      <c r="D14" s="79"/>
      <c r="E14" s="79"/>
      <c r="F14" s="79"/>
      <c r="G14" s="79"/>
      <c r="H14" s="79"/>
      <c r="I14" s="79"/>
      <c r="J14" s="80"/>
      <c r="K14" s="41"/>
    </row>
    <row r="15" spans="1:11" ht="12">
      <c r="A15" s="41"/>
      <c r="B15" s="342" t="s">
        <v>68</v>
      </c>
      <c r="C15" s="343"/>
      <c r="D15" s="343"/>
      <c r="E15" s="343"/>
      <c r="F15" s="343"/>
      <c r="G15" s="343"/>
      <c r="H15" s="343"/>
      <c r="I15" s="343"/>
      <c r="J15" s="344"/>
      <c r="K15" s="41"/>
    </row>
    <row r="16" spans="1:11" ht="12">
      <c r="A16" s="41"/>
      <c r="B16" s="342"/>
      <c r="C16" s="343"/>
      <c r="D16" s="343"/>
      <c r="E16" s="343"/>
      <c r="F16" s="343"/>
      <c r="G16" s="343"/>
      <c r="H16" s="343"/>
      <c r="I16" s="343"/>
      <c r="J16" s="344"/>
      <c r="K16" s="41"/>
    </row>
    <row r="17" spans="1:11" ht="12">
      <c r="A17" s="41"/>
      <c r="B17" s="78"/>
      <c r="C17" s="79"/>
      <c r="D17" s="79"/>
      <c r="E17" s="79"/>
      <c r="F17" s="79"/>
      <c r="G17" s="79"/>
      <c r="H17" s="79"/>
      <c r="I17" s="79"/>
      <c r="J17" s="80"/>
      <c r="K17" s="41"/>
    </row>
    <row r="18" spans="1:11" ht="12">
      <c r="A18" s="41"/>
      <c r="B18" s="342" t="s">
        <v>70</v>
      </c>
      <c r="C18" s="343"/>
      <c r="D18" s="343"/>
      <c r="E18" s="343"/>
      <c r="F18" s="343"/>
      <c r="G18" s="343"/>
      <c r="H18" s="343"/>
      <c r="I18" s="343"/>
      <c r="J18" s="344"/>
      <c r="K18" s="41"/>
    </row>
    <row r="19" spans="1:11" ht="12">
      <c r="A19" s="41"/>
      <c r="B19" s="342"/>
      <c r="C19" s="343"/>
      <c r="D19" s="343"/>
      <c r="E19" s="343"/>
      <c r="F19" s="343"/>
      <c r="G19" s="343"/>
      <c r="H19" s="343"/>
      <c r="I19" s="343"/>
      <c r="J19" s="344"/>
      <c r="K19" s="41"/>
    </row>
    <row r="20" spans="1:11" ht="12">
      <c r="A20" s="41"/>
      <c r="B20" s="84"/>
      <c r="C20" s="85"/>
      <c r="D20" s="85"/>
      <c r="E20" s="85"/>
      <c r="F20" s="85"/>
      <c r="G20" s="85"/>
      <c r="H20" s="85"/>
      <c r="I20" s="85"/>
      <c r="J20" s="86"/>
      <c r="K20" s="41"/>
    </row>
    <row r="21" spans="1:11" ht="1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2:10" ht="12">
      <c r="B22" s="41"/>
      <c r="C22" s="41"/>
      <c r="D22" s="41"/>
      <c r="E22" s="41"/>
      <c r="F22" s="41"/>
      <c r="G22" s="41"/>
      <c r="H22" s="41"/>
      <c r="I22" s="41"/>
      <c r="J22" s="41"/>
    </row>
    <row r="30" ht="12">
      <c r="F30" s="40"/>
    </row>
  </sheetData>
  <sheetProtection password="8CBB" sheet="1"/>
  <mergeCells count="6">
    <mergeCell ref="B15:J16"/>
    <mergeCell ref="B18:J19"/>
    <mergeCell ref="B6:J7"/>
    <mergeCell ref="B3:J4"/>
    <mergeCell ref="B9:J10"/>
    <mergeCell ref="B12:J1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Ortiga</dc:creator>
  <cp:keywords/>
  <dc:description/>
  <cp:lastModifiedBy>Tom Wells</cp:lastModifiedBy>
  <cp:lastPrinted>2019-08-14T10:09:06Z</cp:lastPrinted>
  <dcterms:created xsi:type="dcterms:W3CDTF">2002-01-09T04:33:27Z</dcterms:created>
  <dcterms:modified xsi:type="dcterms:W3CDTF">2021-11-25T03:52:11Z</dcterms:modified>
  <cp:category/>
  <cp:version/>
  <cp:contentType/>
  <cp:contentStatus/>
</cp:coreProperties>
</file>