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allstatehomeloans-my.sharepoint.com/personal/twells_allstatehomeloans_com_au/Documents/Desktop/1 Ocean/Ocean Calcs/"/>
    </mc:Choice>
  </mc:AlternateContent>
  <xr:revisionPtr revIDLastSave="0" documentId="8_{6A2DF60B-4DB5-4C63-B10A-DF8FEACAD576}" xr6:coauthVersionLast="47" xr6:coauthVersionMax="47" xr10:uidLastSave="{00000000-0000-0000-0000-000000000000}"/>
  <workbookProtection workbookAlgorithmName="SHA-512" workbookHashValue="TRNtM36hvyeV3OcldsWjdqiQHn0CZIfiYPaOUpwjLGpxv21hF5fFM+Ovt80n9IShaRYTDtyW1mhCAMvWB45H0g==" workbookSaltValue="42v2bq5sG+w+nqmreJs6Qg==" workbookSpinCount="100000" lockStructure="1"/>
  <bookViews>
    <workbookView xWindow="28680" yWindow="-705" windowWidth="29040" windowHeight="15720" xr2:uid="{77991003-B37D-40D6-845C-803619F5CB03}"/>
  </bookViews>
  <sheets>
    <sheet name="Bridging Calculator" sheetId="1" r:id="rId1"/>
    <sheet name="Data" sheetId="3" state="hidden" r:id="rId2"/>
  </sheets>
  <definedNames>
    <definedName name="comments" localSheetId="1">Data!$F$35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3" l="1"/>
  <c r="U20" i="3"/>
  <c r="W20" i="3" l="1" a="1"/>
  <c r="W20" i="3" s="1"/>
  <c r="V20" i="3" a="1"/>
  <c r="V20" i="3" l="1"/>
  <c r="F18" i="1" l="1"/>
  <c r="F30" i="1"/>
  <c r="K10" i="3"/>
  <c r="J10" i="3"/>
  <c r="I10" i="3"/>
  <c r="H10" i="3"/>
  <c r="G10" i="3"/>
  <c r="F10" i="3"/>
  <c r="E10" i="3"/>
  <c r="D10" i="3"/>
  <c r="K9" i="3"/>
  <c r="J9" i="3"/>
  <c r="I9" i="3"/>
  <c r="H9" i="3"/>
  <c r="G9" i="3"/>
  <c r="F9" i="3"/>
  <c r="E9" i="3"/>
  <c r="D9" i="3"/>
  <c r="F9" i="1" a="1"/>
  <c r="F9" i="1" s="1"/>
  <c r="E12" i="1" s="1"/>
  <c r="C21" i="1" l="1"/>
  <c r="F19" i="1"/>
  <c r="J11" i="1"/>
  <c r="J13" i="1"/>
  <c r="J12" i="1"/>
  <c r="J10" i="1"/>
  <c r="X20" i="3" l="1" a="1"/>
  <c r="X20" i="3" s="1"/>
  <c r="X21" i="3" a="1"/>
  <c r="X21" i="3" s="1"/>
  <c r="F23" i="1"/>
  <c r="E27" i="1" s="1" a="1"/>
  <c r="E27" i="1" s="1"/>
  <c r="F26" i="1"/>
  <c r="J23" i="1"/>
  <c r="C31" i="1"/>
  <c r="C29" i="1" l="1"/>
  <c r="J9" i="1"/>
  <c r="J21" i="1" l="1"/>
  <c r="F21" i="1"/>
  <c r="J14" i="1" s="1"/>
  <c r="J15" i="1" l="1"/>
  <c r="F24" i="1"/>
  <c r="J16" i="1" s="1"/>
  <c r="F20" i="1"/>
  <c r="J22" i="1" s="1"/>
  <c r="C25" i="1"/>
  <c r="C26" i="1"/>
  <c r="F13" i="1" l="1"/>
  <c r="F29" i="1" s="1"/>
  <c r="C38" i="1"/>
  <c r="J24" i="1" s="1"/>
  <c r="J25" i="1" s="1"/>
  <c r="D18" i="3"/>
  <c r="K18" i="3"/>
  <c r="J18" i="3"/>
  <c r="I18" i="3"/>
  <c r="H18" i="3"/>
  <c r="G18" i="3"/>
  <c r="F18" i="3"/>
  <c r="E18" i="3"/>
  <c r="K17" i="3" l="1"/>
  <c r="J17" i="3"/>
  <c r="I17" i="3"/>
  <c r="H17" i="3"/>
  <c r="G17" i="3"/>
  <c r="F17" i="3"/>
  <c r="E17" i="3"/>
  <c r="D17" i="3"/>
  <c r="K8" i="3"/>
  <c r="J8" i="3"/>
  <c r="I8" i="3"/>
  <c r="H8" i="3"/>
  <c r="G8" i="3"/>
  <c r="F8" i="3"/>
  <c r="E8" i="3"/>
  <c r="D8" i="3"/>
  <c r="K7" i="3"/>
  <c r="J7" i="3"/>
  <c r="I7" i="3"/>
  <c r="H7" i="3"/>
  <c r="G7" i="3"/>
  <c r="F7" i="3"/>
  <c r="E7" i="3"/>
  <c r="D7" i="3"/>
  <c r="K6" i="3"/>
  <c r="J6" i="3"/>
  <c r="I6" i="3"/>
  <c r="H6" i="3"/>
  <c r="G6" i="3"/>
  <c r="F6" i="3"/>
  <c r="E6" i="3"/>
  <c r="D6" i="3"/>
  <c r="K5" i="3"/>
  <c r="J5" i="3"/>
  <c r="I5" i="3"/>
  <c r="H5" i="3"/>
  <c r="G5" i="3"/>
  <c r="F5" i="3"/>
  <c r="E5" i="3"/>
  <c r="D5" i="3"/>
  <c r="K4" i="3"/>
  <c r="J4" i="3"/>
  <c r="I4" i="3"/>
  <c r="H4" i="3"/>
  <c r="G4" i="3"/>
  <c r="F4" i="3"/>
  <c r="E4" i="3"/>
  <c r="D4"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<sst xmlns="http://schemas.openxmlformats.org/spreadsheetml/2006/main" count="141" uniqueCount="105">
  <si>
    <t>Purchase</t>
  </si>
  <si>
    <t>Stamp Duty</t>
  </si>
  <si>
    <t>Deposit Paid</t>
  </si>
  <si>
    <t>Application Fee</t>
  </si>
  <si>
    <t>Settlement Fee</t>
  </si>
  <si>
    <t>Title Insurance Fee</t>
  </si>
  <si>
    <t>State</t>
  </si>
  <si>
    <t>Residential</t>
  </si>
  <si>
    <t>ACT</t>
  </si>
  <si>
    <t>NSW</t>
  </si>
  <si>
    <t>NT</t>
  </si>
  <si>
    <t>QLD</t>
  </si>
  <si>
    <t>SA</t>
  </si>
  <si>
    <t>TAS</t>
  </si>
  <si>
    <t>VIC</t>
  </si>
  <si>
    <t>WA</t>
  </si>
  <si>
    <t>BASE</t>
  </si>
  <si>
    <t>Owner Occupied</t>
  </si>
  <si>
    <t>Investment</t>
  </si>
  <si>
    <t>Commercial</t>
  </si>
  <si>
    <t>Refinance</t>
  </si>
  <si>
    <t>Equity Release</t>
  </si>
  <si>
    <t>500,001 - 999,999,999</t>
  </si>
  <si>
    <t>BASE RATE</t>
  </si>
  <si>
    <t xml:space="preserve">GST </t>
  </si>
  <si>
    <t>Stamp duty</t>
  </si>
  <si>
    <t>RESI</t>
  </si>
  <si>
    <t>Commecial</t>
  </si>
  <si>
    <t>                           DUTIABLE VALUE</t>
  </si>
  <si>
    <t>DUTY THRESHOLDS</t>
  </si>
  <si>
    <t>                                 DUTIABLE VALUE</t>
  </si>
  <si>
    <t>$0 – $120,000</t>
  </si>
  <si>
    <t>$1.90 per $100 or part thereof</t>
  </si>
  <si>
    <t>$0 – $80,000</t>
  </si>
  <si>
    <t>$1.90 per $100 or part thereof </t>
  </si>
  <si>
    <t>$120,001 – $150,000</t>
  </si>
  <si>
    <t>$2,280 + $2.85 per $100 or part thereof above $120,000</t>
  </si>
  <si>
    <t>$80,001 - $100,000 </t>
  </si>
  <si>
    <t>$1,520 + $2.85 per $100 or part thereof above $80,000</t>
  </si>
  <si>
    <t>$150,001 – $360,000</t>
  </si>
  <si>
    <t>$ 3,135 + $3.80 per $100 or part thereof above $150,000</t>
  </si>
  <si>
    <t>$100,001 – $250,000</t>
  </si>
  <si>
    <t>$2,090 + $3.80 per $100 or part thereof above $100,000</t>
  </si>
  <si>
    <t>$360,001 – $725,000</t>
  </si>
  <si>
    <t>$11,115 + $4.75 per $100 or part thereof above $360,000</t>
  </si>
  <si>
    <t>$250,001 – $500,000</t>
  </si>
  <si>
    <t>$7,790 + $4.75 per $100 or part thereof above $250,000</t>
  </si>
  <si>
    <t>$725,001 and upwards</t>
  </si>
  <si>
    <t>$28,453 + $5.15 per $100 or part thereof above $725,000</t>
  </si>
  <si>
    <t>$500,001 and upwards</t>
  </si>
  <si>
    <t>$19,665 + $5.15 per $100 or part thereof above $500,000</t>
  </si>
  <si>
    <t>Mortgage Registration</t>
  </si>
  <si>
    <t>Borrower's Conveyancer</t>
  </si>
  <si>
    <t>Broker's Mandate</t>
  </si>
  <si>
    <t>Interest Rate</t>
  </si>
  <si>
    <t>Total Security value</t>
  </si>
  <si>
    <t>LVR on End Debt</t>
  </si>
  <si>
    <t>Other</t>
  </si>
  <si>
    <t>Savings to contribute</t>
  </si>
  <si>
    <t>Yes</t>
  </si>
  <si>
    <t>No</t>
  </si>
  <si>
    <t>Existing Mortgage</t>
  </si>
  <si>
    <t>Transfer fee</t>
  </si>
  <si>
    <t>Transaction Costs</t>
  </si>
  <si>
    <t>Loan Details</t>
  </si>
  <si>
    <t>Mortgage Registration Fee</t>
  </si>
  <si>
    <t xml:space="preserve">Peak LVR </t>
  </si>
  <si>
    <t>Applicant's Name:</t>
  </si>
  <si>
    <t>Lender's &amp; Broker's Fees</t>
  </si>
  <si>
    <t>Other Costs</t>
  </si>
  <si>
    <t>All fees &amp; Costs</t>
  </si>
  <si>
    <t>Government Fees</t>
  </si>
  <si>
    <t>Existing Property Value</t>
  </si>
  <si>
    <t>Purchase Property Value</t>
  </si>
  <si>
    <t>Lender's Legals</t>
  </si>
  <si>
    <t>Market Value (valuation)</t>
  </si>
  <si>
    <t>Interest Budget</t>
  </si>
  <si>
    <t>Requested End Debt</t>
  </si>
  <si>
    <t>Minimum End Debt</t>
  </si>
  <si>
    <t>LVR on requested End Debt</t>
  </si>
  <si>
    <t>Expected Net Sales Proceeds</t>
  </si>
  <si>
    <t>Peak Debt</t>
  </si>
  <si>
    <t>Balance for the purchase</t>
  </si>
  <si>
    <t>Total Loan Amount</t>
  </si>
  <si>
    <t>LVR</t>
  </si>
  <si>
    <t>Term (months)</t>
  </si>
  <si>
    <t>End Debt</t>
  </si>
  <si>
    <t>End Debt LVR</t>
  </si>
  <si>
    <t>Transaction Summary</t>
  </si>
  <si>
    <t>Quote</t>
  </si>
  <si>
    <t>The information contained in this calculator is provided by ORDE Financial Pty Limited ACN 634 779 990 Australian Credit Licence 522079 and ORDE Capital Management Limited ACN 636 165 378 Australian Financial Services Licence 523150 Australian Credit Licence 523150 for illustrative purposes only and should not be regarded as a prediction, or as personal advice. Calculations are not forecasts or projections but is a tool that may assist you to make your own projections. The calculator is not intended to be a substitute for professional advice. The information in this calculator does not constitute an offer to lend, or imply the product is suitable for clients. Before acting on this general information, your client must consider its appropriateness having regard to their own objectives, financial situation and need and also seek independent financial, legal and taxation advice. No guarantee, warranty, or representation is given or implied as to the reliability or accuracy of the information use to compile each index or each calculation. ORDE Financial specifically disclaims any liability for any direct, indirect, incidental, consequential, or special damages or for any loss arising out of or in any way connected with the access to, reliance on, or use of this calculator.</t>
  </si>
  <si>
    <t>Has the property been sold?</t>
  </si>
  <si>
    <t>Maximum Peak Debt</t>
  </si>
  <si>
    <t>Existing property you are selling</t>
  </si>
  <si>
    <t>Property you are purchasing</t>
  </si>
  <si>
    <r>
      <t>Surplus/</t>
    </r>
    <r>
      <rPr>
        <sz val="11"/>
        <color rgb="FFFF0000"/>
        <rFont val="Calibri"/>
        <family val="2"/>
        <scheme val="minor"/>
      </rPr>
      <t>Deficit at settlement</t>
    </r>
  </si>
  <si>
    <r>
      <rPr>
        <u/>
        <sz val="11"/>
        <color theme="5" tint="-0.499984740745262"/>
        <rFont val="Calibri"/>
        <family val="2"/>
        <scheme val="minor"/>
      </rPr>
      <t>Approx.</t>
    </r>
    <r>
      <rPr>
        <sz val="11"/>
        <color theme="5" tint="-0.499984740745262"/>
        <rFont val="Calibri"/>
        <family val="2"/>
        <scheme val="minor"/>
      </rPr>
      <t xml:space="preserve"> loan amount to avoid shortfall at settlement. To reduce - add more savings.</t>
    </r>
  </si>
  <si>
    <t>Bridging period (max 12 months)</t>
  </si>
  <si>
    <r>
      <t>Peak Debt</t>
    </r>
    <r>
      <rPr>
        <sz val="10"/>
        <color theme="1"/>
        <rFont val="Calibri"/>
        <family val="2"/>
        <scheme val="minor"/>
      </rPr>
      <t xml:space="preserve"> (Loan required + Interest)</t>
    </r>
  </si>
  <si>
    <t>Minimum Bridging Period (months)</t>
  </si>
  <si>
    <t>Enter data in the cells highlighted in yellow</t>
  </si>
  <si>
    <t>additional security same state</t>
  </si>
  <si>
    <t>Required Loan Amount</t>
  </si>
  <si>
    <t>Title Insurance</t>
  </si>
  <si>
    <t>BRIDGING CALCULATOR - BROKER v4.6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</si>
</sst>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_ ;\-#,##0\ "/>
    <numFmt numFmtId="166"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0"/>
      <name val="Calibri"/>
      <family val="2"/>
      <scheme val="minor"/>
    </font>
    <font>
      <sz val="11"/>
      <color rgb="FF24292E"/>
      <name val="Calibri"/>
      <family val="2"/>
      <scheme val="minor"/>
    </font>
    <font>
      <b/>
      <sz val="11"/>
      <color rgb="FF555555"/>
      <name val="Calibri"/>
      <family val="2"/>
      <scheme val="minor"/>
    </font>
    <font>
      <sz val="11"/>
      <color rgb="FF555555"/>
      <name val="Calibri"/>
      <family val="2"/>
      <scheme val="minor"/>
    </font>
    <font>
      <u/>
      <sz val="11"/>
      <color theme="10"/>
      <name val="Calibri"/>
      <family val="2"/>
      <scheme val="minor"/>
    </font>
    <font>
      <b/>
      <sz val="11"/>
      <color rgb="FFFFFFFF"/>
      <name val="Calibri"/>
      <family val="2"/>
      <scheme val="minor"/>
    </font>
    <font>
      <sz val="11"/>
      <color rgb="FF333333"/>
      <name val="Calibri"/>
      <family val="2"/>
      <scheme val="minor"/>
    </font>
    <font>
      <b/>
      <sz val="20"/>
      <color theme="1"/>
      <name val="Calibri"/>
      <family val="2"/>
      <scheme val="minor"/>
    </font>
    <font>
      <b/>
      <sz val="14"/>
      <color theme="1"/>
      <name val="Calibri"/>
      <family val="2"/>
      <scheme val="minor"/>
    </font>
    <font>
      <b/>
      <sz val="11"/>
      <color rgb="FF0070C0"/>
      <name val="Calibri"/>
      <family val="2"/>
      <scheme val="minor"/>
    </font>
    <font>
      <b/>
      <i/>
      <sz val="14"/>
      <color theme="1"/>
      <name val="Calibri"/>
      <family val="2"/>
      <scheme val="minor"/>
    </font>
    <font>
      <b/>
      <sz val="12"/>
      <color theme="1"/>
      <name val="Calibri"/>
      <family val="2"/>
      <scheme val="minor"/>
    </font>
    <font>
      <sz val="12"/>
      <color theme="1"/>
      <name val="Calibri"/>
      <family val="2"/>
      <scheme val="minor"/>
    </font>
    <font>
      <sz val="14"/>
      <color rgb="FFFF0000"/>
      <name val="Calibri"/>
      <family val="2"/>
      <scheme val="minor"/>
    </font>
    <font>
      <sz val="11"/>
      <color rgb="FFFF0000"/>
      <name val="Calibri"/>
      <family val="2"/>
      <scheme val="minor"/>
    </font>
    <font>
      <sz val="11"/>
      <color rgb="FF00B050"/>
      <name val="Calibri"/>
      <family val="2"/>
      <scheme val="minor"/>
    </font>
    <font>
      <sz val="11"/>
      <color theme="5" tint="-0.499984740745262"/>
      <name val="Calibri"/>
      <family val="2"/>
      <scheme val="minor"/>
    </font>
    <font>
      <u/>
      <sz val="11"/>
      <color theme="5" tint="-0.499984740745262"/>
      <name val="Calibri"/>
      <family val="2"/>
      <scheme val="minor"/>
    </font>
    <font>
      <b/>
      <sz val="11"/>
      <color theme="5" tint="-0.499984740745262"/>
      <name val="Calibri"/>
      <family val="2"/>
      <scheme val="minor"/>
    </font>
    <font>
      <i/>
      <sz val="11"/>
      <color theme="5" tint="-0.499984740745262"/>
      <name val="Calibri"/>
      <family val="2"/>
      <scheme val="minor"/>
    </font>
    <font>
      <sz val="8"/>
      <color theme="0"/>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4" tint="-0.249977111117893"/>
        <bgColor indexed="64"/>
      </patternFill>
    </fill>
    <fill>
      <patternFill patternType="solid">
        <fgColor rgb="FFF5F5F5"/>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0000"/>
        <bgColor indexed="64"/>
      </patternFill>
    </fill>
    <fill>
      <patternFill patternType="solid">
        <fgColor rgb="FF800000"/>
        <bgColor indexed="64"/>
      </patternFill>
    </fill>
    <fill>
      <patternFill patternType="solid">
        <fgColor theme="7"/>
        <bgColor indexed="64"/>
      </patternFill>
    </fill>
    <fill>
      <patternFill patternType="solid">
        <fgColor rgb="FF333333"/>
        <bgColor indexed="64"/>
      </patternFill>
    </fill>
    <fill>
      <patternFill patternType="solid">
        <fgColor theme="5" tint="0.79998168889431442"/>
        <bgColor indexed="64"/>
      </patternFill>
    </fill>
    <fill>
      <patternFill patternType="solid">
        <fgColor rgb="FFFFFFCC"/>
        <bgColor indexed="64"/>
      </patternFill>
    </fill>
    <fill>
      <patternFill patternType="solid">
        <fgColor rgb="FF33DAFB"/>
        <bgColor indexed="64"/>
      </patternFill>
    </fill>
  </fills>
  <borders count="3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rgb="FFDDDDDD"/>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DDDDDD"/>
      </bottom>
      <diagonal/>
    </border>
    <border>
      <left style="medium">
        <color rgb="FFD9DDE2"/>
      </left>
      <right style="medium">
        <color rgb="FFD9DDE2"/>
      </right>
      <top style="medium">
        <color rgb="FFD9DDE2"/>
      </top>
      <bottom style="medium">
        <color rgb="FFD9DDE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rgb="FF07DCF9"/>
      </left>
      <right style="double">
        <color rgb="FF07DCF9"/>
      </right>
      <top style="double">
        <color rgb="FF07DCF9"/>
      </top>
      <bottom style="double">
        <color rgb="FF07DCF9"/>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3">
    <xf numFmtId="0" fontId="0" fillId="0" borderId="0" xfId="0"/>
    <xf numFmtId="0" fontId="0" fillId="2" borderId="0" xfId="0"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xf numFmtId="0" fontId="3" fillId="3" borderId="6" xfId="0" applyFont="1" applyFill="1" applyBorder="1"/>
    <xf numFmtId="0" fontId="3" fillId="3" borderId="7" xfId="0" applyFont="1" applyFill="1" applyBorder="1"/>
    <xf numFmtId="0" fontId="3" fillId="3" borderId="8" xfId="0" applyFont="1"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5" borderId="0" xfId="0" applyFill="1"/>
    <xf numFmtId="0" fontId="0" fillId="0" borderId="13" xfId="0" applyBorder="1"/>
    <xf numFmtId="0" fontId="0" fillId="0" borderId="14" xfId="0" applyBorder="1"/>
    <xf numFmtId="3" fontId="0" fillId="0" borderId="0" xfId="0" applyNumberFormat="1"/>
    <xf numFmtId="4" fontId="0" fillId="0" borderId="0" xfId="0" applyNumberFormat="1"/>
    <xf numFmtId="4" fontId="0" fillId="5" borderId="0" xfId="0" applyNumberFormat="1" applyFill="1"/>
    <xf numFmtId="164" fontId="5" fillId="0" borderId="0" xfId="0" applyNumberFormat="1" applyFont="1"/>
    <xf numFmtId="164" fontId="5" fillId="0" borderId="0" xfId="0" applyNumberFormat="1" applyFont="1" applyAlignment="1">
      <alignment wrapText="1"/>
    </xf>
    <xf numFmtId="164" fontId="0" fillId="0" borderId="0" xfId="0" applyNumberFormat="1"/>
    <xf numFmtId="0" fontId="0" fillId="0" borderId="15" xfId="0" applyBorder="1"/>
    <xf numFmtId="0" fontId="0" fillId="0" borderId="16" xfId="0" applyBorder="1"/>
    <xf numFmtId="0" fontId="0" fillId="0" borderId="17" xfId="0" applyBorder="1"/>
    <xf numFmtId="4" fontId="0" fillId="2" borderId="0" xfId="0" applyNumberFormat="1" applyFill="1"/>
    <xf numFmtId="0" fontId="6" fillId="7" borderId="18" xfId="0" applyFont="1" applyFill="1" applyBorder="1" applyAlignment="1">
      <alignment horizontal="left" vertical="top"/>
    </xf>
    <xf numFmtId="0" fontId="0" fillId="8" borderId="19" xfId="0" applyFill="1" applyBorder="1"/>
    <xf numFmtId="0" fontId="7" fillId="9" borderId="18" xfId="0" applyFont="1" applyFill="1" applyBorder="1" applyAlignment="1">
      <alignment vertical="top"/>
    </xf>
    <xf numFmtId="0" fontId="0" fillId="8" borderId="3" xfId="0" applyFill="1" applyBorder="1"/>
    <xf numFmtId="2" fontId="0" fillId="8" borderId="3" xfId="0" applyNumberFormat="1" applyFill="1" applyBorder="1"/>
    <xf numFmtId="2" fontId="0" fillId="8" borderId="2" xfId="0" applyNumberFormat="1" applyFill="1" applyBorder="1"/>
    <xf numFmtId="2" fontId="0" fillId="8" borderId="1" xfId="0" applyNumberFormat="1" applyFill="1" applyBorder="1"/>
    <xf numFmtId="0" fontId="0" fillId="2" borderId="0" xfId="0" applyFill="1" applyAlignment="1">
      <alignment wrapText="1"/>
    </xf>
    <xf numFmtId="0" fontId="6" fillId="9" borderId="22" xfId="0" applyFont="1" applyFill="1" applyBorder="1" applyAlignment="1">
      <alignment horizontal="left"/>
    </xf>
    <xf numFmtId="0" fontId="0" fillId="0" borderId="0" xfId="0" applyAlignment="1">
      <alignment wrapText="1"/>
    </xf>
    <xf numFmtId="0" fontId="8" fillId="0" borderId="0" xfId="3" applyAlignment="1">
      <alignment horizontal="left" vertical="center" wrapText="1" indent="1"/>
    </xf>
    <xf numFmtId="0" fontId="0" fillId="0" borderId="0" xfId="0" applyAlignment="1">
      <alignment vertical="top"/>
    </xf>
    <xf numFmtId="0" fontId="7" fillId="7" borderId="18" xfId="0" applyFont="1" applyFill="1" applyBorder="1" applyAlignment="1">
      <alignment vertical="top"/>
    </xf>
    <xf numFmtId="0" fontId="9" fillId="14" borderId="23" xfId="0" applyFont="1" applyFill="1" applyBorder="1" applyAlignment="1">
      <alignment horizontal="left" vertical="center"/>
    </xf>
    <xf numFmtId="0" fontId="9" fillId="14" borderId="23" xfId="0" applyFont="1" applyFill="1" applyBorder="1" applyAlignment="1">
      <alignment horizontal="center" vertical="center"/>
    </xf>
    <xf numFmtId="0" fontId="10" fillId="9" borderId="23" xfId="0" applyFont="1" applyFill="1" applyBorder="1" applyAlignment="1">
      <alignment vertical="center"/>
    </xf>
    <xf numFmtId="0" fontId="3" fillId="3" borderId="0" xfId="0" applyFont="1" applyFill="1"/>
    <xf numFmtId="0" fontId="0" fillId="0" borderId="24" xfId="0" applyBorder="1"/>
    <xf numFmtId="0" fontId="4" fillId="4" borderId="0" xfId="0" applyFont="1" applyFill="1" applyAlignment="1">
      <alignment horizontal="center"/>
    </xf>
    <xf numFmtId="0" fontId="0" fillId="0" borderId="25" xfId="0" applyBorder="1"/>
    <xf numFmtId="164" fontId="5" fillId="0" borderId="15" xfId="0" applyNumberFormat="1" applyFont="1" applyBorder="1"/>
    <xf numFmtId="10" fontId="0" fillId="0" borderId="24" xfId="2" applyNumberFormat="1" applyFont="1" applyFill="1" applyBorder="1" applyProtection="1">
      <protection locked="0"/>
    </xf>
    <xf numFmtId="0" fontId="0" fillId="0" borderId="29" xfId="0" applyBorder="1"/>
    <xf numFmtId="0" fontId="0" fillId="0" borderId="27" xfId="0" applyBorder="1"/>
    <xf numFmtId="44" fontId="0" fillId="0" borderId="0" xfId="0" applyNumberFormat="1"/>
    <xf numFmtId="0" fontId="0" fillId="0" borderId="28" xfId="0" applyBorder="1"/>
    <xf numFmtId="0" fontId="12" fillId="0" borderId="30" xfId="0" applyFont="1" applyBorder="1" applyProtection="1">
      <protection locked="0"/>
    </xf>
    <xf numFmtId="44" fontId="0" fillId="2" borderId="24" xfId="0" applyNumberFormat="1" applyFill="1" applyBorder="1"/>
    <xf numFmtId="44" fontId="2" fillId="2" borderId="24" xfId="1" applyFont="1" applyFill="1" applyBorder="1"/>
    <xf numFmtId="10" fontId="1" fillId="2" borderId="24" xfId="2" applyNumberFormat="1" applyFont="1" applyFill="1" applyBorder="1"/>
    <xf numFmtId="0" fontId="2" fillId="3" borderId="24" xfId="0" applyFont="1" applyFill="1" applyBorder="1" applyAlignment="1">
      <alignment horizontal="right"/>
    </xf>
    <xf numFmtId="44" fontId="0" fillId="0" borderId="0" xfId="1" applyFont="1" applyBorder="1" applyProtection="1">
      <protection locked="0"/>
    </xf>
    <xf numFmtId="44" fontId="2" fillId="2" borderId="26" xfId="1" applyFont="1" applyFill="1" applyBorder="1"/>
    <xf numFmtId="0" fontId="2" fillId="2" borderId="25" xfId="0" applyFont="1" applyFill="1" applyBorder="1"/>
    <xf numFmtId="0" fontId="0" fillId="2" borderId="12" xfId="0" applyFill="1" applyBorder="1"/>
    <xf numFmtId="44" fontId="0" fillId="2" borderId="24" xfId="1" applyFont="1" applyFill="1" applyBorder="1"/>
    <xf numFmtId="44" fontId="0" fillId="2" borderId="26" xfId="1" applyFont="1" applyFill="1" applyBorder="1"/>
    <xf numFmtId="44" fontId="15" fillId="2" borderId="24" xfId="0" applyNumberFormat="1" applyFont="1" applyFill="1" applyBorder="1"/>
    <xf numFmtId="0" fontId="16" fillId="3" borderId="24" xfId="0" applyFont="1" applyFill="1" applyBorder="1" applyAlignment="1">
      <alignment horizontal="right"/>
    </xf>
    <xf numFmtId="44" fontId="16" fillId="2" borderId="24" xfId="0" applyNumberFormat="1" applyFont="1" applyFill="1" applyBorder="1"/>
    <xf numFmtId="0" fontId="13" fillId="0" borderId="0" xfId="0" applyFont="1" applyAlignment="1">
      <alignment horizontal="center"/>
    </xf>
    <xf numFmtId="10" fontId="0" fillId="0" borderId="0" xfId="0" applyNumberFormat="1"/>
    <xf numFmtId="0" fontId="16" fillId="0" borderId="12" xfId="0" applyFont="1" applyBorder="1"/>
    <xf numFmtId="165" fontId="16" fillId="0" borderId="12" xfId="0" applyNumberFormat="1" applyFont="1" applyBorder="1"/>
    <xf numFmtId="10" fontId="16" fillId="0" borderId="12" xfId="0" applyNumberFormat="1" applyFont="1" applyBorder="1"/>
    <xf numFmtId="0" fontId="16" fillId="0" borderId="10" xfId="0" applyFont="1" applyBorder="1"/>
    <xf numFmtId="10" fontId="16" fillId="0" borderId="10" xfId="0" applyNumberFormat="1" applyFont="1" applyBorder="1"/>
    <xf numFmtId="0" fontId="15" fillId="0" borderId="15" xfId="0" applyFont="1" applyBorder="1"/>
    <xf numFmtId="0" fontId="15" fillId="0" borderId="12" xfId="0" applyFont="1" applyBorder="1"/>
    <xf numFmtId="0" fontId="15" fillId="0" borderId="12" xfId="0" applyFont="1" applyBorder="1" applyAlignment="1">
      <alignment horizontal="right"/>
    </xf>
    <xf numFmtId="166" fontId="15" fillId="0" borderId="15" xfId="1" applyNumberFormat="1" applyFont="1" applyBorder="1"/>
    <xf numFmtId="0" fontId="17" fillId="0" borderId="0" xfId="0" applyFont="1"/>
    <xf numFmtId="44" fontId="0" fillId="2" borderId="24" xfId="1" applyFont="1" applyFill="1" applyBorder="1" applyProtection="1"/>
    <xf numFmtId="0" fontId="16" fillId="0" borderId="0" xfId="0" applyFont="1"/>
    <xf numFmtId="10" fontId="16" fillId="0" borderId="0" xfId="0" applyNumberFormat="1" applyFont="1"/>
    <xf numFmtId="44" fontId="0" fillId="0" borderId="28" xfId="1" applyFont="1" applyBorder="1" applyProtection="1"/>
    <xf numFmtId="0" fontId="15" fillId="0" borderId="0" xfId="0" applyFont="1"/>
    <xf numFmtId="44" fontId="2" fillId="0" borderId="0" xfId="1" applyFont="1" applyBorder="1" applyProtection="1">
      <protection locked="0"/>
    </xf>
    <xf numFmtId="0" fontId="19" fillId="0" borderId="24" xfId="0" applyFont="1" applyBorder="1"/>
    <xf numFmtId="44" fontId="0" fillId="0" borderId="24" xfId="0" applyNumberFormat="1" applyBorder="1"/>
    <xf numFmtId="0" fontId="20" fillId="0" borderId="0" xfId="0" applyFont="1" applyAlignment="1">
      <alignment horizontal="left"/>
    </xf>
    <xf numFmtId="0" fontId="22" fillId="0" borderId="0" xfId="0" applyFont="1" applyAlignment="1">
      <alignment horizontal="left"/>
    </xf>
    <xf numFmtId="44" fontId="0" fillId="16" borderId="24" xfId="1" applyFont="1" applyFill="1" applyBorder="1" applyProtection="1">
      <protection locked="0"/>
    </xf>
    <xf numFmtId="0" fontId="0" fillId="16" borderId="24" xfId="0" applyFill="1" applyBorder="1" applyAlignment="1" applyProtection="1">
      <alignment horizontal="center" vertical="top"/>
      <protection locked="0"/>
    </xf>
    <xf numFmtId="0" fontId="0" fillId="16" borderId="24" xfId="0" applyFill="1" applyBorder="1" applyAlignment="1" applyProtection="1">
      <alignment horizontal="center"/>
      <protection locked="0"/>
    </xf>
    <xf numFmtId="44" fontId="0" fillId="16" borderId="28" xfId="1" applyFont="1" applyFill="1" applyBorder="1" applyProtection="1">
      <protection locked="0"/>
    </xf>
    <xf numFmtId="10" fontId="0" fillId="16" borderId="24" xfId="0" applyNumberFormat="1" applyFill="1" applyBorder="1" applyProtection="1">
      <protection locked="0"/>
    </xf>
    <xf numFmtId="0" fontId="0" fillId="0" borderId="28" xfId="0" applyBorder="1" applyProtection="1">
      <protection locked="0"/>
    </xf>
    <xf numFmtId="0" fontId="0" fillId="0" borderId="24" xfId="0" applyBorder="1" applyProtection="1">
      <protection locked="0"/>
    </xf>
    <xf numFmtId="165" fontId="0" fillId="16" borderId="24" xfId="1" applyNumberFormat="1" applyFont="1" applyFill="1" applyBorder="1" applyProtection="1">
      <protection locked="0"/>
    </xf>
    <xf numFmtId="10" fontId="0" fillId="16" borderId="24" xfId="2" applyNumberFormat="1" applyFont="1" applyFill="1" applyBorder="1" applyProtection="1">
      <protection locked="0"/>
    </xf>
    <xf numFmtId="0" fontId="15" fillId="0" borderId="16" xfId="0" applyFont="1" applyBorder="1"/>
    <xf numFmtId="0" fontId="15" fillId="0" borderId="25" xfId="0" applyFont="1" applyBorder="1"/>
    <xf numFmtId="165" fontId="22" fillId="2" borderId="24" xfId="1" applyNumberFormat="1" applyFont="1" applyFill="1" applyBorder="1" applyProtection="1"/>
    <xf numFmtId="0" fontId="2" fillId="0" borderId="25" xfId="0" applyFont="1" applyBorder="1" applyAlignment="1">
      <alignment horizontal="right"/>
    </xf>
    <xf numFmtId="44" fontId="22" fillId="2" borderId="24" xfId="1" applyFont="1" applyFill="1" applyBorder="1"/>
    <xf numFmtId="0" fontId="22" fillId="2" borderId="24" xfId="0" applyFont="1" applyFill="1" applyBorder="1"/>
    <xf numFmtId="44" fontId="22" fillId="2" borderId="24" xfId="0" applyNumberFormat="1" applyFont="1" applyFill="1" applyBorder="1"/>
    <xf numFmtId="44" fontId="15" fillId="16" borderId="31" xfId="1" applyFont="1" applyFill="1" applyBorder="1" applyProtection="1">
      <protection locked="0"/>
    </xf>
    <xf numFmtId="2" fontId="0" fillId="0" borderId="0" xfId="0" applyNumberFormat="1"/>
    <xf numFmtId="0" fontId="15" fillId="17" borderId="24" xfId="0" applyFont="1" applyFill="1" applyBorder="1"/>
    <xf numFmtId="44" fontId="15" fillId="17" borderId="24" xfId="1" applyFont="1" applyFill="1" applyBorder="1"/>
    <xf numFmtId="10" fontId="2" fillId="17" borderId="24" xfId="2" applyNumberFormat="1" applyFont="1" applyFill="1" applyBorder="1"/>
    <xf numFmtId="0" fontId="2" fillId="17" borderId="24" xfId="0" applyFont="1" applyFill="1" applyBorder="1"/>
    <xf numFmtId="0" fontId="15" fillId="17" borderId="24" xfId="0" applyFont="1" applyFill="1" applyBorder="1" applyAlignment="1">
      <alignment horizontal="left"/>
    </xf>
    <xf numFmtId="0" fontId="24" fillId="4" borderId="0" xfId="0" applyFont="1" applyFill="1" applyAlignment="1">
      <alignment vertical="top" wrapText="1"/>
    </xf>
    <xf numFmtId="0" fontId="15" fillId="0" borderId="0" xfId="0" applyFont="1" applyAlignment="1">
      <alignment horizontal="center"/>
    </xf>
    <xf numFmtId="0" fontId="0" fillId="0" borderId="12" xfId="0" applyBorder="1"/>
    <xf numFmtId="0" fontId="23" fillId="16" borderId="7" xfId="0" applyFont="1" applyFill="1" applyBorder="1" applyAlignment="1">
      <alignment horizontal="center"/>
    </xf>
    <xf numFmtId="0" fontId="20" fillId="2" borderId="24" xfId="0" applyFont="1" applyFill="1" applyBorder="1" applyAlignment="1">
      <alignment vertical="center" wrapText="1"/>
    </xf>
    <xf numFmtId="0" fontId="11" fillId="3" borderId="20"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4" borderId="0" xfId="0" applyFont="1" applyFill="1" applyAlignment="1">
      <alignment horizontal="center"/>
    </xf>
    <xf numFmtId="0" fontId="4" fillId="4" borderId="14" xfId="0" applyFont="1" applyFill="1" applyBorder="1" applyAlignment="1">
      <alignment horizontal="center"/>
    </xf>
    <xf numFmtId="0" fontId="0" fillId="0" borderId="0" xfId="0"/>
    <xf numFmtId="0" fontId="14" fillId="0" borderId="19" xfId="0" applyFont="1" applyBorder="1" applyProtection="1">
      <protection locked="0"/>
    </xf>
    <xf numFmtId="0" fontId="14" fillId="0" borderId="20" xfId="0" applyFont="1" applyBorder="1" applyProtection="1">
      <protection locked="0"/>
    </xf>
    <xf numFmtId="0" fontId="14" fillId="0" borderId="21" xfId="0" applyFont="1" applyBorder="1" applyProtection="1">
      <protection locked="0"/>
    </xf>
    <xf numFmtId="0" fontId="0" fillId="15" borderId="0" xfId="0" applyFill="1" applyAlignment="1">
      <alignment horizontal="center"/>
    </xf>
    <xf numFmtId="0" fontId="0" fillId="15" borderId="14" xfId="0" applyFill="1" applyBorder="1" applyAlignment="1">
      <alignment horizontal="center"/>
    </xf>
    <xf numFmtId="0" fontId="0" fillId="15" borderId="25" xfId="0" applyFill="1" applyBorder="1" applyAlignment="1">
      <alignment horizontal="center"/>
    </xf>
    <xf numFmtId="0" fontId="0" fillId="15" borderId="12" xfId="0" applyFill="1" applyBorder="1" applyAlignment="1">
      <alignment horizontal="center"/>
    </xf>
    <xf numFmtId="0" fontId="0" fillId="15" borderId="26" xfId="0" applyFill="1" applyBorder="1" applyAlignment="1">
      <alignment horizontal="center"/>
    </xf>
    <xf numFmtId="44" fontId="20" fillId="2" borderId="24" xfId="1" applyFont="1" applyFill="1" applyBorder="1" applyAlignment="1">
      <alignment vertical="center"/>
    </xf>
    <xf numFmtId="44" fontId="20" fillId="2" borderId="27" xfId="1" applyFont="1" applyFill="1" applyBorder="1" applyAlignment="1">
      <alignment vertical="center"/>
    </xf>
    <xf numFmtId="0" fontId="13" fillId="0" borderId="25" xfId="0" applyFont="1" applyBorder="1" applyAlignment="1">
      <alignment horizontal="center"/>
    </xf>
    <xf numFmtId="0" fontId="13" fillId="0" borderId="26" xfId="0" applyFont="1" applyBorder="1" applyAlignment="1">
      <alignment horizontal="center"/>
    </xf>
    <xf numFmtId="0" fontId="0" fillId="13" borderId="0" xfId="0" applyFill="1" applyAlignment="1">
      <alignment horizontal="center" vertical="center" wrapText="1"/>
    </xf>
    <xf numFmtId="0" fontId="0" fillId="6" borderId="0" xfId="0" applyFill="1" applyAlignment="1">
      <alignment horizontal="center" vertical="center"/>
    </xf>
    <xf numFmtId="4" fontId="0" fillId="8" borderId="19" xfId="0" applyNumberFormat="1" applyFill="1" applyBorder="1" applyAlignment="1">
      <alignment horizontal="center"/>
    </xf>
    <xf numFmtId="4" fontId="0" fillId="8" borderId="20" xfId="0" applyNumberFormat="1" applyFill="1" applyBorder="1" applyAlignment="1">
      <alignment horizontal="center"/>
    </xf>
    <xf numFmtId="4" fontId="0" fillId="8" borderId="21" xfId="0" applyNumberFormat="1" applyFill="1" applyBorder="1" applyAlignment="1">
      <alignment horizontal="center"/>
    </xf>
    <xf numFmtId="0" fontId="0" fillId="10" borderId="0" xfId="0" applyFill="1" applyAlignment="1">
      <alignment horizontal="center" vertical="center"/>
    </xf>
    <xf numFmtId="0" fontId="0" fillId="11" borderId="0" xfId="0" applyFill="1" applyAlignment="1">
      <alignment horizontal="center" vertical="center" wrapText="1"/>
    </xf>
    <xf numFmtId="0" fontId="0" fillId="12" borderId="0" xfId="0" applyFill="1" applyAlignment="1">
      <alignment horizontal="center" vertical="center"/>
    </xf>
  </cellXfs>
  <cellStyles count="4">
    <cellStyle name="Currency" xfId="1" builtinId="4"/>
    <cellStyle name="Hyperlink" xfId="3" builtinId="8"/>
    <cellStyle name="Normal" xfId="0" builtinId="0"/>
    <cellStyle name="Percent" xfId="2" builtinId="5"/>
  </cellStyles>
  <dxfs count="16">
    <dxf>
      <font>
        <color rgb="FF9C0006"/>
      </font>
      <fill>
        <patternFill>
          <bgColor rgb="FFFFC7CE"/>
        </patternFill>
      </fill>
    </dxf>
    <dxf>
      <font>
        <color rgb="FFFF000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69494"/>
        </patternFill>
      </fill>
    </dxf>
    <dxf>
      <fill>
        <patternFill patternType="none">
          <bgColor auto="1"/>
        </patternFill>
      </fill>
    </dxf>
    <dxf>
      <font>
        <color auto="1"/>
      </font>
      <fill>
        <patternFill>
          <bgColor rgb="FFFFC7CE"/>
        </patternFill>
      </fill>
    </dxf>
    <dxf>
      <font>
        <color rgb="FF9C0006"/>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EB4B4"/>
        </patternFill>
      </fill>
    </dxf>
    <dxf>
      <font>
        <color auto="1"/>
      </font>
      <fill>
        <patternFill>
          <bgColor rgb="FF99FF66"/>
        </patternFill>
      </fill>
    </dxf>
  </dxfs>
  <tableStyles count="0" defaultTableStyle="TableStyleMedium2" defaultPivotStyle="PivotStyleLight16"/>
  <colors>
    <mruColors>
      <color rgb="FF33DAFB"/>
      <color rgb="FF04B8DD"/>
      <color rgb="FFFEB4B4"/>
      <color rgb="FFFFB8B3"/>
      <color rgb="FFFFFFCC"/>
      <color rgb="FF99FF66"/>
      <color rgb="FF61E9FB"/>
      <color rgb="FFF69494"/>
      <color rgb="FFF1595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328705</xdr:colOff>
      <xdr:row>1</xdr:row>
      <xdr:rowOff>5879</xdr:rowOff>
    </xdr:from>
    <xdr:to>
      <xdr:col>4</xdr:col>
      <xdr:colOff>179292</xdr:colOff>
      <xdr:row>3</xdr:row>
      <xdr:rowOff>350992</xdr:rowOff>
    </xdr:to>
    <xdr:pic>
      <xdr:nvPicPr>
        <xdr:cNvPr id="5" name="Picture 4">
          <a:extLst>
            <a:ext uri="{FF2B5EF4-FFF2-40B4-BE49-F238E27FC236}">
              <a16:creationId xmlns:a16="http://schemas.microsoft.com/office/drawing/2014/main" id="{61A8F5E9-D239-1A51-6417-14252C11A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4470" y="200114"/>
          <a:ext cx="1665940" cy="724993"/>
        </a:xfrm>
        <a:prstGeom prst="rect">
          <a:avLst/>
        </a:prstGeom>
      </xdr:spPr>
    </xdr:pic>
    <xdr:clientData/>
  </xdr:twoCellAnchor>
  <xdr:twoCellAnchor editAs="oneCell">
    <xdr:from>
      <xdr:col>8</xdr:col>
      <xdr:colOff>724647</xdr:colOff>
      <xdr:row>1</xdr:row>
      <xdr:rowOff>82177</xdr:rowOff>
    </xdr:from>
    <xdr:to>
      <xdr:col>9</xdr:col>
      <xdr:colOff>464295</xdr:colOff>
      <xdr:row>4</xdr:row>
      <xdr:rowOff>67581</xdr:rowOff>
    </xdr:to>
    <xdr:pic>
      <xdr:nvPicPr>
        <xdr:cNvPr id="6" name="Picture 5">
          <a:extLst>
            <a:ext uri="{FF2B5EF4-FFF2-40B4-BE49-F238E27FC236}">
              <a16:creationId xmlns:a16="http://schemas.microsoft.com/office/drawing/2014/main" id="{65578BC8-A67C-4A3A-9A10-BF58E27A2A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69823" y="276412"/>
          <a:ext cx="1665940" cy="72499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D453-AF7C-4C9E-8116-AA11F6C568BF}">
  <dimension ref="A1:K42"/>
  <sheetViews>
    <sheetView showGridLines="0" tabSelected="1" zoomScale="85" zoomScaleNormal="85" workbookViewId="0">
      <selection activeCell="C32" sqref="C32"/>
    </sheetView>
  </sheetViews>
  <sheetFormatPr defaultRowHeight="15" x14ac:dyDescent="0.25"/>
  <cols>
    <col min="1" max="1" width="26.7109375" customWidth="1"/>
    <col min="2" max="2" width="6.85546875" customWidth="1"/>
    <col min="3" max="3" width="17.7109375" customWidth="1"/>
    <col min="4" max="4" width="8.140625" customWidth="1"/>
    <col min="5" max="5" width="32.7109375" customWidth="1"/>
    <col min="6" max="6" width="19.85546875" customWidth="1"/>
    <col min="7" max="7" width="10.7109375" customWidth="1"/>
    <col min="8" max="8" width="3.85546875" customWidth="1"/>
    <col min="9" max="9" width="27.42578125" customWidth="1"/>
    <col min="10" max="10" width="20.140625" customWidth="1"/>
    <col min="11" max="11" width="4" customWidth="1"/>
    <col min="13" max="13" width="28.28515625" customWidth="1"/>
    <col min="14" max="14" width="17.7109375" customWidth="1"/>
  </cols>
  <sheetData>
    <row r="1" spans="1:11" ht="15.75" thickBot="1" x14ac:dyDescent="0.3"/>
    <row r="2" spans="1:11" x14ac:dyDescent="0.25">
      <c r="A2" s="9"/>
      <c r="B2" s="8"/>
      <c r="C2" s="8"/>
      <c r="D2" s="8"/>
      <c r="E2" s="8"/>
      <c r="F2" s="7"/>
      <c r="H2" s="10"/>
      <c r="I2" s="11"/>
      <c r="J2" s="11"/>
      <c r="K2" s="12"/>
    </row>
    <row r="3" spans="1:11" x14ac:dyDescent="0.25">
      <c r="A3" s="6"/>
      <c r="B3" s="43"/>
      <c r="C3" s="43"/>
      <c r="D3" s="43"/>
      <c r="E3" s="43"/>
      <c r="F3" s="5"/>
      <c r="H3" s="15"/>
      <c r="K3" s="16"/>
    </row>
    <row r="4" spans="1:11" ht="29.25" customHeight="1" thickBot="1" x14ac:dyDescent="0.3">
      <c r="A4" s="4"/>
      <c r="B4" s="3"/>
      <c r="C4" s="3"/>
      <c r="D4" s="3"/>
      <c r="E4" s="3"/>
      <c r="F4" s="2"/>
      <c r="H4" s="15"/>
      <c r="K4" s="16"/>
    </row>
    <row r="5" spans="1:11" ht="29.25" customHeight="1" thickBot="1" x14ac:dyDescent="0.3">
      <c r="A5" s="117" t="s">
        <v>104</v>
      </c>
      <c r="B5" s="118"/>
      <c r="C5" s="118"/>
      <c r="D5" s="118"/>
      <c r="E5" s="118"/>
      <c r="F5" s="119"/>
      <c r="H5" s="15"/>
      <c r="K5" s="16"/>
    </row>
    <row r="6" spans="1:11" ht="19.5" thickBot="1" x14ac:dyDescent="0.35">
      <c r="A6" s="53" t="s">
        <v>67</v>
      </c>
      <c r="B6" s="123"/>
      <c r="C6" s="124"/>
      <c r="D6" s="124"/>
      <c r="E6" s="124"/>
      <c r="F6" s="125"/>
      <c r="H6" s="15"/>
      <c r="I6" s="113" t="s">
        <v>89</v>
      </c>
      <c r="J6" s="113"/>
      <c r="K6" s="16"/>
    </row>
    <row r="7" spans="1:11" x14ac:dyDescent="0.25">
      <c r="A7" s="87"/>
      <c r="B7" s="88"/>
      <c r="C7" s="115" t="s">
        <v>100</v>
      </c>
      <c r="D7" s="115"/>
      <c r="E7" s="115"/>
      <c r="F7" s="88"/>
      <c r="H7" s="15"/>
      <c r="K7" s="16"/>
    </row>
    <row r="8" spans="1:11" ht="18.75" x14ac:dyDescent="0.3">
      <c r="A8" s="120" t="s">
        <v>93</v>
      </c>
      <c r="B8" s="120"/>
      <c r="C8" s="121"/>
      <c r="D8" s="122"/>
      <c r="E8" s="45" t="s">
        <v>64</v>
      </c>
      <c r="F8" s="45"/>
      <c r="H8" s="15"/>
      <c r="K8" s="16"/>
    </row>
    <row r="9" spans="1:11" ht="15.75" x14ac:dyDescent="0.25">
      <c r="A9" s="44" t="s">
        <v>72</v>
      </c>
      <c r="B9" s="49"/>
      <c r="C9" s="89">
        <v>0</v>
      </c>
      <c r="D9" s="122"/>
      <c r="E9" s="103" t="s">
        <v>99</v>
      </c>
      <c r="F9" s="100" cm="1">
        <f t="array" ref="F9">_xlfn.IFS(C12="", "", C12= "Yes", 6, C12="No", 12)</f>
        <v>12</v>
      </c>
      <c r="H9" s="15"/>
      <c r="I9" s="74" t="s">
        <v>83</v>
      </c>
      <c r="J9" s="77">
        <f>F19</f>
        <v>0</v>
      </c>
      <c r="K9" s="16"/>
    </row>
    <row r="10" spans="1:11" ht="15.75" x14ac:dyDescent="0.25">
      <c r="A10" s="44" t="s">
        <v>61</v>
      </c>
      <c r="B10" s="52"/>
      <c r="C10" s="89"/>
      <c r="D10" s="122"/>
      <c r="E10" s="44" t="s">
        <v>97</v>
      </c>
      <c r="F10" s="96">
        <v>12</v>
      </c>
      <c r="H10" s="15"/>
      <c r="I10" s="69" t="s">
        <v>85</v>
      </c>
      <c r="J10" s="70">
        <f>F10</f>
        <v>12</v>
      </c>
      <c r="K10" s="16"/>
    </row>
    <row r="11" spans="1:11" ht="15.75" x14ac:dyDescent="0.25">
      <c r="A11" s="44" t="s">
        <v>6</v>
      </c>
      <c r="B11" s="49"/>
      <c r="C11" s="90" t="s">
        <v>9</v>
      </c>
      <c r="D11" s="122"/>
      <c r="E11" s="44" t="s">
        <v>54</v>
      </c>
      <c r="F11" s="97">
        <v>8.2400000000000001E-2</v>
      </c>
      <c r="H11" s="15"/>
      <c r="I11" s="69" t="s">
        <v>54</v>
      </c>
      <c r="J11" s="71">
        <f>F11</f>
        <v>8.2400000000000001E-2</v>
      </c>
      <c r="K11" s="16"/>
    </row>
    <row r="12" spans="1:11" ht="15.6" customHeight="1" x14ac:dyDescent="0.25">
      <c r="A12" s="13" t="s">
        <v>91</v>
      </c>
      <c r="B12" s="52"/>
      <c r="C12" s="91" t="s">
        <v>60</v>
      </c>
      <c r="D12" s="122"/>
      <c r="E12" s="114" t="str">
        <f>IF(F10&lt;F9, _xlfn.TEXTJOIN(" ", 1, "Minimum bridging period is", TEXT(F9, "##"), "months"),"")</f>
        <v/>
      </c>
      <c r="F12" s="114"/>
      <c r="H12" s="15"/>
      <c r="I12" s="69" t="s">
        <v>3</v>
      </c>
      <c r="J12" s="71">
        <f>B25</f>
        <v>1.2500000000000001E-2</v>
      </c>
      <c r="K12" s="16"/>
    </row>
    <row r="13" spans="1:11" ht="15.75" x14ac:dyDescent="0.25">
      <c r="D13" s="122"/>
      <c r="E13" s="116" t="s">
        <v>96</v>
      </c>
      <c r="F13" s="131">
        <f>CEILING(C10+C15-SUM(C18:C19)+ SUM(C25:C28)+SUM(C31:C33)+ SUM(C35:C36),100)</f>
        <v>1000</v>
      </c>
      <c r="H13" s="15"/>
      <c r="I13" s="69" t="s">
        <v>4</v>
      </c>
      <c r="J13" s="71">
        <f>B26</f>
        <v>0</v>
      </c>
      <c r="K13" s="16"/>
    </row>
    <row r="14" spans="1:11" ht="18.75" x14ac:dyDescent="0.3">
      <c r="A14" s="120" t="s">
        <v>94</v>
      </c>
      <c r="B14" s="120"/>
      <c r="C14" s="121"/>
      <c r="D14" s="122"/>
      <c r="E14" s="116"/>
      <c r="F14" s="131"/>
      <c r="H14" s="15"/>
      <c r="I14" s="69" t="s">
        <v>84</v>
      </c>
      <c r="J14" s="71" t="e">
        <f>F21</f>
        <v>#DIV/0!</v>
      </c>
      <c r="K14" s="16"/>
    </row>
    <row r="15" spans="1:11" ht="16.5" thickBot="1" x14ac:dyDescent="0.3">
      <c r="A15" s="46" t="s">
        <v>73</v>
      </c>
      <c r="B15" s="50"/>
      <c r="C15" s="89">
        <v>0</v>
      </c>
      <c r="D15" s="122"/>
      <c r="E15" s="116"/>
      <c r="F15" s="132"/>
      <c r="H15" s="15"/>
      <c r="I15" s="75" t="s">
        <v>86</v>
      </c>
      <c r="J15" s="76" t="str">
        <f>TEXT(IF(AND(NOT(F25=""), NOT(F25=0)),F25,F23), "$ ###,###")</f>
        <v xml:space="preserve">$ </v>
      </c>
      <c r="K15" s="16"/>
    </row>
    <row r="16" spans="1:11" ht="17.25" thickTop="1" thickBot="1" x14ac:dyDescent="0.3">
      <c r="A16" s="46" t="s">
        <v>75</v>
      </c>
      <c r="B16" s="49"/>
      <c r="C16" s="89">
        <v>0</v>
      </c>
      <c r="D16" s="122"/>
      <c r="E16" s="98" t="s">
        <v>102</v>
      </c>
      <c r="F16" s="105">
        <v>0</v>
      </c>
      <c r="H16" s="15"/>
      <c r="I16" s="72" t="s">
        <v>87</v>
      </c>
      <c r="J16" s="73" t="e">
        <f>IF(AND(NOT(F25=""), NOT(F25=0)),F26,F24)</f>
        <v>#DIV/0!</v>
      </c>
      <c r="K16" s="16"/>
    </row>
    <row r="17" spans="1:11" ht="16.5" thickTop="1" x14ac:dyDescent="0.25">
      <c r="A17" s="46" t="s">
        <v>6</v>
      </c>
      <c r="B17" s="49"/>
      <c r="C17" s="91" t="s">
        <v>9</v>
      </c>
      <c r="D17" s="122"/>
      <c r="E17" s="83"/>
      <c r="F17" s="84"/>
      <c r="H17" s="15"/>
      <c r="I17" s="80"/>
      <c r="J17" s="81"/>
      <c r="K17" s="16"/>
    </row>
    <row r="18" spans="1:11" ht="16.5" customHeight="1" x14ac:dyDescent="0.25">
      <c r="A18" s="46" t="s">
        <v>2</v>
      </c>
      <c r="B18" s="49"/>
      <c r="C18" s="89">
        <v>0</v>
      </c>
      <c r="D18" s="122"/>
      <c r="E18" s="103" t="s">
        <v>92</v>
      </c>
      <c r="F18" s="104">
        <f>IF(C12 = "Yes", (C9+ MIN(C16,C15))*0.8, C9 * 0.75 + MIN(C16,C15)*0.8)</f>
        <v>0</v>
      </c>
      <c r="H18" s="15"/>
      <c r="J18" s="68"/>
      <c r="K18" s="16"/>
    </row>
    <row r="19" spans="1:11" ht="15.75" x14ac:dyDescent="0.25">
      <c r="A19" s="46" t="s">
        <v>58</v>
      </c>
      <c r="B19" s="52"/>
      <c r="C19" s="89">
        <v>0</v>
      </c>
      <c r="D19" s="122"/>
      <c r="E19" s="107" t="s">
        <v>98</v>
      </c>
      <c r="F19" s="108">
        <f>CEILING(FV((F11+2%)/12, F10, 0, -F16),100)</f>
        <v>0</v>
      </c>
      <c r="H19" s="15"/>
      <c r="I19" s="113" t="s">
        <v>88</v>
      </c>
      <c r="J19" s="113"/>
      <c r="K19" s="16"/>
    </row>
    <row r="20" spans="1:11" x14ac:dyDescent="0.25">
      <c r="C20" s="58"/>
      <c r="D20" s="122"/>
      <c r="E20" s="57" t="s">
        <v>76</v>
      </c>
      <c r="F20" s="55">
        <f>F19-F16</f>
        <v>0</v>
      </c>
      <c r="H20" s="15"/>
      <c r="K20" s="16"/>
    </row>
    <row r="21" spans="1:11" ht="15.75" x14ac:dyDescent="0.25">
      <c r="A21" s="60" t="s">
        <v>55</v>
      </c>
      <c r="B21" s="61"/>
      <c r="C21" s="59">
        <f>C9+MIN(C16,C15)</f>
        <v>0</v>
      </c>
      <c r="D21" s="122"/>
      <c r="E21" s="107" t="s">
        <v>66</v>
      </c>
      <c r="F21" s="109" t="e">
        <f>F19/C21</f>
        <v>#DIV/0!</v>
      </c>
      <c r="H21" s="15"/>
      <c r="I21" s="111" t="s">
        <v>81</v>
      </c>
      <c r="J21" s="64">
        <f>F19</f>
        <v>0</v>
      </c>
      <c r="K21" s="16"/>
    </row>
    <row r="22" spans="1:11" ht="15.75" x14ac:dyDescent="0.25">
      <c r="A22" s="122"/>
      <c r="B22" s="122"/>
      <c r="C22" s="122"/>
      <c r="D22" s="122"/>
      <c r="H22" s="15"/>
      <c r="I22" s="65" t="s">
        <v>76</v>
      </c>
      <c r="J22" s="66">
        <f>F20</f>
        <v>0</v>
      </c>
      <c r="K22" s="16"/>
    </row>
    <row r="23" spans="1:11" ht="18.75" x14ac:dyDescent="0.3">
      <c r="A23" s="120" t="s">
        <v>63</v>
      </c>
      <c r="B23" s="120"/>
      <c r="C23" s="121"/>
      <c r="D23" s="122"/>
      <c r="E23" s="103" t="s">
        <v>78</v>
      </c>
      <c r="F23" s="102">
        <f>IF((F19-F30)&lt;0, "No End Debt", CEILING(F19-F30, 100))</f>
        <v>0</v>
      </c>
      <c r="H23" s="15"/>
      <c r="I23" s="65" t="s">
        <v>20</v>
      </c>
      <c r="J23" s="66">
        <f>C10</f>
        <v>0</v>
      </c>
      <c r="K23" s="16"/>
    </row>
    <row r="24" spans="1:11" ht="16.5" thickBot="1" x14ac:dyDescent="0.3">
      <c r="A24" s="126" t="s">
        <v>68</v>
      </c>
      <c r="B24" s="126"/>
      <c r="C24" s="127"/>
      <c r="D24" s="122"/>
      <c r="E24" s="44" t="s">
        <v>56</v>
      </c>
      <c r="F24" s="56" t="e">
        <f>IF(ISNUMBER(F23),F23/C16,0)</f>
        <v>#DIV/0!</v>
      </c>
      <c r="H24" s="15"/>
      <c r="I24" s="65" t="s">
        <v>70</v>
      </c>
      <c r="J24" s="66">
        <f>C38</f>
        <v>906.9</v>
      </c>
      <c r="K24" s="16"/>
    </row>
    <row r="25" spans="1:11" ht="17.25" thickTop="1" thickBot="1" x14ac:dyDescent="0.3">
      <c r="A25" s="44" t="s">
        <v>3</v>
      </c>
      <c r="B25" s="93">
        <v>1.2500000000000001E-2</v>
      </c>
      <c r="C25" s="79">
        <f>F19*B25</f>
        <v>0</v>
      </c>
      <c r="D25" s="122"/>
      <c r="E25" s="99" t="s">
        <v>77</v>
      </c>
      <c r="F25" s="105">
        <v>0</v>
      </c>
      <c r="H25" s="15"/>
      <c r="I25" s="111" t="s">
        <v>82</v>
      </c>
      <c r="J25" s="64">
        <f>J21-J22-J23-J24</f>
        <v>-906.9</v>
      </c>
      <c r="K25" s="16"/>
    </row>
    <row r="26" spans="1:11" ht="15.75" thickTop="1" x14ac:dyDescent="0.25">
      <c r="A26" s="44" t="s">
        <v>4</v>
      </c>
      <c r="B26" s="93">
        <v>0</v>
      </c>
      <c r="C26" s="79">
        <f>F19*B26</f>
        <v>0</v>
      </c>
      <c r="D26" s="122"/>
      <c r="E26" s="110" t="s">
        <v>79</v>
      </c>
      <c r="F26" s="109" t="e">
        <f>IF(ISNUMBER(F25),F25/C16,0)</f>
        <v>#DIV/0!</v>
      </c>
      <c r="G26" s="51"/>
      <c r="H26" s="24"/>
      <c r="I26" s="23"/>
      <c r="J26" s="23"/>
      <c r="K26" s="25"/>
    </row>
    <row r="27" spans="1:11" x14ac:dyDescent="0.25">
      <c r="A27" s="44" t="s">
        <v>53</v>
      </c>
      <c r="B27" s="48"/>
      <c r="C27" s="92">
        <v>0</v>
      </c>
      <c r="D27" s="122"/>
      <c r="E27" s="133" t="e" cm="1">
        <f t="array" ref="E27">_xlfn.IFS(AND(NOT(OR(F23="No End Debt", F23=0)), F25&lt;&gt;"", F25&lt;F23),  _xlfn.TEXTJOIN(" ", 1, "Requested End Debt cannot be less than", TEXT(F23, "$###,###")), NOT(OR(F23="No End Debt", F23=0)), _xlfn.TEXTJOIN(" ", 1, "Calculate servicing for", TEXT(IF(AND(F25&lt;&gt;"", F25&lt;&gt;0),F25,F23), "$###,###")) )</f>
        <v>#N/A</v>
      </c>
      <c r="F27" s="134"/>
      <c r="G27" s="51"/>
    </row>
    <row r="28" spans="1:11" ht="15" customHeight="1" x14ac:dyDescent="0.25">
      <c r="A28" s="52" t="s">
        <v>74</v>
      </c>
      <c r="B28" s="49"/>
      <c r="C28" s="82">
        <v>555.5</v>
      </c>
      <c r="D28" s="122"/>
      <c r="E28" s="67"/>
      <c r="F28" s="67"/>
      <c r="G28" s="51"/>
    </row>
    <row r="29" spans="1:11" ht="18.75" customHeight="1" x14ac:dyDescent="0.3">
      <c r="A29" s="46" t="s">
        <v>5</v>
      </c>
      <c r="B29" s="44"/>
      <c r="C29" s="63">
        <f>SUM(Data!X20, Data!X21)</f>
        <v>0</v>
      </c>
      <c r="D29" s="122"/>
      <c r="E29" s="85" t="s">
        <v>95</v>
      </c>
      <c r="F29" s="86">
        <f>F16-F13-C29</f>
        <v>-1000</v>
      </c>
      <c r="G29" s="78"/>
      <c r="H29" s="78"/>
      <c r="I29" s="78"/>
      <c r="J29" s="78"/>
      <c r="K29" s="78"/>
    </row>
    <row r="30" spans="1:11" ht="15" customHeight="1" x14ac:dyDescent="0.3">
      <c r="A30" s="128" t="s">
        <v>71</v>
      </c>
      <c r="B30" s="129"/>
      <c r="C30" s="130"/>
      <c r="D30" s="122"/>
      <c r="E30" s="44" t="s">
        <v>80</v>
      </c>
      <c r="F30" s="54">
        <f>IF(C12="No",C9*(100%-2.5%-10%),C9*(100%-2.5%))</f>
        <v>0</v>
      </c>
      <c r="G30" s="78"/>
      <c r="H30" s="78"/>
      <c r="I30" s="78"/>
      <c r="J30" s="78"/>
      <c r="K30" s="78"/>
    </row>
    <row r="31" spans="1:11" ht="15" customHeight="1" x14ac:dyDescent="0.3">
      <c r="A31" s="44" t="s">
        <v>65</v>
      </c>
      <c r="C31" s="62">
        <f>_xlfn.XLOOKUP(C11, Data!O4:O11, Data!Q4:Q11)+_xlfn.XLOOKUP(C17, Data!O4:O11, Data!Q4:Q11)</f>
        <v>351.4</v>
      </c>
      <c r="D31" s="122"/>
      <c r="G31" s="78"/>
      <c r="H31" s="78"/>
      <c r="I31" s="78"/>
      <c r="J31" s="78"/>
      <c r="K31" s="78"/>
    </row>
    <row r="32" spans="1:11" ht="15" customHeight="1" x14ac:dyDescent="0.25">
      <c r="A32" s="101" t="s">
        <v>1</v>
      </c>
      <c r="B32" s="49"/>
      <c r="C32" s="89">
        <v>0</v>
      </c>
      <c r="D32" s="122"/>
      <c r="E32" s="112" t="s">
        <v>90</v>
      </c>
      <c r="F32" s="112"/>
      <c r="G32" s="112"/>
      <c r="H32" s="112"/>
      <c r="I32" s="112"/>
      <c r="J32" s="112"/>
      <c r="K32" s="112"/>
    </row>
    <row r="33" spans="1:11" ht="15" customHeight="1" x14ac:dyDescent="0.25">
      <c r="A33" s="101" t="s">
        <v>62</v>
      </c>
      <c r="B33" s="52"/>
      <c r="C33" s="89">
        <v>0</v>
      </c>
      <c r="D33" s="122"/>
      <c r="E33" s="112"/>
      <c r="F33" s="112"/>
      <c r="G33" s="112"/>
      <c r="H33" s="112"/>
      <c r="I33" s="112"/>
      <c r="J33" s="112"/>
      <c r="K33" s="112"/>
    </row>
    <row r="34" spans="1:11" ht="15" customHeight="1" x14ac:dyDescent="0.25">
      <c r="A34" s="128" t="s">
        <v>69</v>
      </c>
      <c r="B34" s="129"/>
      <c r="C34" s="130"/>
      <c r="D34" s="122"/>
      <c r="E34" s="112"/>
      <c r="F34" s="112"/>
      <c r="G34" s="112"/>
      <c r="H34" s="112"/>
      <c r="I34" s="112"/>
      <c r="J34" s="112"/>
      <c r="K34" s="112"/>
    </row>
    <row r="35" spans="1:11" ht="15" customHeight="1" x14ac:dyDescent="0.25">
      <c r="A35" s="94" t="s">
        <v>52</v>
      </c>
      <c r="B35" s="49"/>
      <c r="C35" s="92">
        <v>0</v>
      </c>
      <c r="D35" s="122"/>
      <c r="E35" s="112"/>
      <c r="F35" s="112"/>
      <c r="G35" s="112"/>
      <c r="H35" s="112"/>
      <c r="I35" s="112"/>
      <c r="J35" s="112"/>
      <c r="K35" s="112"/>
    </row>
    <row r="36" spans="1:11" ht="15" customHeight="1" x14ac:dyDescent="0.25">
      <c r="A36" s="95" t="s">
        <v>57</v>
      </c>
      <c r="B36" s="52"/>
      <c r="C36" s="92">
        <v>0</v>
      </c>
      <c r="D36" s="122"/>
      <c r="E36" s="112"/>
      <c r="F36" s="112"/>
      <c r="G36" s="112"/>
      <c r="H36" s="112"/>
      <c r="I36" s="112"/>
      <c r="J36" s="112"/>
      <c r="K36" s="112"/>
    </row>
    <row r="37" spans="1:11" ht="15" customHeight="1" x14ac:dyDescent="0.25">
      <c r="D37" s="122"/>
      <c r="E37" s="112"/>
      <c r="F37" s="112"/>
      <c r="G37" s="112"/>
      <c r="H37" s="112"/>
      <c r="I37" s="112"/>
      <c r="J37" s="112"/>
      <c r="K37" s="112"/>
    </row>
    <row r="38" spans="1:11" ht="15" customHeight="1" x14ac:dyDescent="0.25">
      <c r="A38" s="60" t="s">
        <v>70</v>
      </c>
      <c r="B38" s="61"/>
      <c r="C38" s="59">
        <f>SUM(C25:C29)+SUM(C31:C33)+SUM(C35:C36)</f>
        <v>906.9</v>
      </c>
      <c r="E38" s="112"/>
      <c r="F38" s="112"/>
      <c r="G38" s="112"/>
      <c r="H38" s="112"/>
      <c r="I38" s="112"/>
      <c r="J38" s="112"/>
      <c r="K38" s="112"/>
    </row>
    <row r="39" spans="1:11" ht="15" customHeight="1" x14ac:dyDescent="0.25"/>
    <row r="42" spans="1:11" ht="15" customHeight="1" x14ac:dyDescent="0.25"/>
  </sheetData>
  <sheetProtection algorithmName="SHA-512" hashValue="tD/K8B9B79CiNnbHXnkSpam51Q9fb5AlOeiAGECP1BD8PyCCeQvO0Rp2k3hxWW0NPP4uhz38/1Xs4Bks2gqetA==" saltValue="QuyEtdm8ixrUKOmenY+oug==" spinCount="100000" sheet="1" formatColumns="0" selectLockedCells="1"/>
  <mergeCells count="18">
    <mergeCell ref="A5:F5"/>
    <mergeCell ref="A8:C8"/>
    <mergeCell ref="A14:C14"/>
    <mergeCell ref="D8:D37"/>
    <mergeCell ref="A23:C23"/>
    <mergeCell ref="A22:C22"/>
    <mergeCell ref="B6:F6"/>
    <mergeCell ref="A24:C24"/>
    <mergeCell ref="A34:C34"/>
    <mergeCell ref="A30:C30"/>
    <mergeCell ref="F13:F15"/>
    <mergeCell ref="E27:F27"/>
    <mergeCell ref="E32:K38"/>
    <mergeCell ref="I19:J19"/>
    <mergeCell ref="E12:F12"/>
    <mergeCell ref="C7:E7"/>
    <mergeCell ref="I6:J6"/>
    <mergeCell ref="E13:E15"/>
  </mergeCells>
  <conditionalFormatting sqref="E27 E28:F28">
    <cfRule type="expression" dxfId="15" priority="20">
      <formula>E27&lt;&gt;""</formula>
    </cfRule>
  </conditionalFormatting>
  <conditionalFormatting sqref="E12:F12">
    <cfRule type="cellIs" dxfId="14" priority="1" operator="notEqual">
      <formula>""</formula>
    </cfRule>
  </conditionalFormatting>
  <conditionalFormatting sqref="F10">
    <cfRule type="cellIs" dxfId="13" priority="8" operator="lessThan">
      <formula>$F$9</formula>
    </cfRule>
  </conditionalFormatting>
  <conditionalFormatting sqref="F16:F17">
    <cfRule type="cellIs" dxfId="12" priority="25" operator="lessThan">
      <formula>$N$23</formula>
    </cfRule>
  </conditionalFormatting>
  <conditionalFormatting sqref="F19">
    <cfRule type="cellIs" dxfId="11" priority="3" operator="greaterThan">
      <formula>$F$18</formula>
    </cfRule>
  </conditionalFormatting>
  <conditionalFormatting sqref="F21">
    <cfRule type="expression" dxfId="10" priority="94">
      <formula>F19&gt; F18</formula>
    </cfRule>
  </conditionalFormatting>
  <conditionalFormatting sqref="F24">
    <cfRule type="cellIs" dxfId="9" priority="11" operator="greaterThan">
      <formula>0.8</formula>
    </cfRule>
    <cfRule type="cellIs" dxfId="8" priority="22" operator="greaterThan">
      <formula>0.8</formula>
    </cfRule>
  </conditionalFormatting>
  <conditionalFormatting sqref="F25">
    <cfRule type="expression" dxfId="7" priority="2">
      <formula>$F$23= "No End Debt"</formula>
    </cfRule>
    <cfRule type="expression" dxfId="6" priority="15">
      <formula>AND(NOT(F23="No End Debt"),  F25&lt;F23)</formula>
    </cfRule>
    <cfRule type="cellIs" dxfId="5" priority="17" operator="lessThan">
      <formula>$N$23</formula>
    </cfRule>
  </conditionalFormatting>
  <conditionalFormatting sqref="F26">
    <cfRule type="cellIs" dxfId="4" priority="12" operator="greaterThan">
      <formula>0.8</formula>
    </cfRule>
  </conditionalFormatting>
  <conditionalFormatting sqref="F29">
    <cfRule type="cellIs" dxfId="3" priority="4" operator="lessThan">
      <formula>0</formula>
    </cfRule>
    <cfRule type="cellIs" dxfId="2" priority="5" operator="greaterThan">
      <formula>0</formula>
    </cfRule>
    <cfRule type="cellIs" dxfId="1" priority="24" operator="lessThan">
      <formula>0</formula>
    </cfRule>
  </conditionalFormatting>
  <conditionalFormatting sqref="J21:J25">
    <cfRule type="cellIs" dxfId="0" priority="13" operator="lessThan">
      <formula>$N$23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D5F4142-A4ED-4B8E-96A7-9F6A95EA60BA}">
          <x14:formula1>
            <xm:f>Data!$O$4:$O$11</xm:f>
          </x14:formula1>
          <xm:sqref>N16 C17 C11</xm:sqref>
        </x14:dataValidation>
        <x14:dataValidation type="list" allowBlank="1" showInputMessage="1" showErrorMessage="1" xr:uid="{2F785D24-ED78-414B-9187-1635D4C0D043}">
          <x14:formula1>
            <xm:f>Data!$O$13:$O$14</xm:f>
          </x14:formula1>
          <xm:sqref>N15</xm:sqref>
        </x14:dataValidation>
        <x14:dataValidation type="list" allowBlank="1" showInputMessage="1" showErrorMessage="1" xr:uid="{0A6DA191-F9FA-40E1-BA1E-B2CDCD4AEAE4}">
          <x14:formula1>
            <xm:f>Data!$A$4:$A$8</xm:f>
          </x14:formula1>
          <xm:sqref>N17</xm:sqref>
        </x14:dataValidation>
        <x14:dataValidation type="list" allowBlank="1" showInputMessage="1" showErrorMessage="1" xr:uid="{197F66C5-D704-4673-8F5D-B7094F8CA84E}">
          <x14:formula1>
            <xm:f>Data!$R$13:$R$14</xm:f>
          </x14:formula1>
          <xm:sqref>N18</xm:sqref>
        </x14:dataValidation>
        <x14:dataValidation type="list" allowBlank="1" showInputMessage="1" showErrorMessage="1" xr:uid="{27C14ACC-FE06-498B-9D8F-5222CCC09C94}">
          <x14:formula1>
            <xm:f>Data!$M$26:$M$27</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0505-3C06-4D2D-B2C9-BD40B5769999}">
  <dimension ref="A2:X114"/>
  <sheetViews>
    <sheetView workbookViewId="0">
      <selection activeCell="Q22" sqref="Q22"/>
    </sheetView>
  </sheetViews>
  <sheetFormatPr defaultRowHeight="15" x14ac:dyDescent="0.25"/>
  <cols>
    <col min="3" max="3" width="21.140625" bestFit="1" customWidth="1"/>
    <col min="4" max="4" width="21.140625" customWidth="1"/>
    <col min="7" max="7" width="8.42578125" bestFit="1" customWidth="1"/>
    <col min="16" max="16" width="11.140625" bestFit="1" customWidth="1"/>
    <col min="17" max="17" width="24.140625" bestFit="1" customWidth="1"/>
    <col min="18" max="18" width="10.5703125" customWidth="1"/>
  </cols>
  <sheetData>
    <row r="2" spans="2:18" x14ac:dyDescent="0.25">
      <c r="O2" s="10"/>
      <c r="P2" s="11"/>
      <c r="Q2" s="11"/>
      <c r="R2" s="12"/>
    </row>
    <row r="3" spans="2:18" x14ac:dyDescent="0.25">
      <c r="B3" s="13"/>
      <c r="C3" s="13" t="s">
        <v>7</v>
      </c>
      <c r="D3" s="13" t="s">
        <v>8</v>
      </c>
      <c r="E3" s="13" t="s">
        <v>9</v>
      </c>
      <c r="F3" s="13" t="s">
        <v>10</v>
      </c>
      <c r="G3" s="13" t="s">
        <v>11</v>
      </c>
      <c r="H3" s="13" t="s">
        <v>12</v>
      </c>
      <c r="I3" s="13" t="s">
        <v>13</v>
      </c>
      <c r="J3" s="13" t="s">
        <v>14</v>
      </c>
      <c r="K3" s="13" t="s">
        <v>15</v>
      </c>
      <c r="L3" s="14" t="s">
        <v>16</v>
      </c>
      <c r="O3" s="15" t="s">
        <v>6</v>
      </c>
      <c r="P3" t="s">
        <v>1</v>
      </c>
      <c r="Q3" t="s">
        <v>51</v>
      </c>
      <c r="R3" s="16"/>
    </row>
    <row r="4" spans="2:18" x14ac:dyDescent="0.25">
      <c r="B4" s="17"/>
      <c r="C4" s="17">
        <v>600000</v>
      </c>
      <c r="D4" s="18">
        <f>$L$4*$D$26*D27</f>
        <v>132</v>
      </c>
      <c r="E4" s="18">
        <f t="shared" ref="E4:K4" si="0">$L$4*$D$26*E27</f>
        <v>143.88000000000002</v>
      </c>
      <c r="F4" s="18">
        <f t="shared" si="0"/>
        <v>145.20000000000002</v>
      </c>
      <c r="G4" s="18">
        <f t="shared" si="0"/>
        <v>143.88000000000002</v>
      </c>
      <c r="H4" s="18">
        <f t="shared" si="0"/>
        <v>146.52000000000001</v>
      </c>
      <c r="I4" s="18">
        <f t="shared" si="0"/>
        <v>145.20000000000002</v>
      </c>
      <c r="J4" s="18">
        <f t="shared" si="0"/>
        <v>145.20000000000002</v>
      </c>
      <c r="K4" s="18">
        <f t="shared" si="0"/>
        <v>145.20000000000002</v>
      </c>
      <c r="L4" s="19">
        <v>120</v>
      </c>
      <c r="M4" s="17"/>
      <c r="N4" s="17"/>
      <c r="O4" s="15" t="s">
        <v>14</v>
      </c>
      <c r="P4" s="20"/>
      <c r="Q4" s="20">
        <v>135.80000000000001</v>
      </c>
      <c r="R4" s="16"/>
    </row>
    <row r="5" spans="2:18" x14ac:dyDescent="0.25">
      <c r="B5" s="17"/>
      <c r="C5" s="17">
        <v>1000000</v>
      </c>
      <c r="D5" s="18">
        <f>$L$5*$D$26*D27</f>
        <v>237.60000000000002</v>
      </c>
      <c r="E5" s="18">
        <f t="shared" ref="E5:K5" si="1">$L$5*$D$26*E27</f>
        <v>258.98400000000004</v>
      </c>
      <c r="F5" s="18">
        <f t="shared" si="1"/>
        <v>261.36000000000007</v>
      </c>
      <c r="G5" s="18">
        <f t="shared" si="1"/>
        <v>258.98400000000004</v>
      </c>
      <c r="H5" s="18">
        <f t="shared" si="1"/>
        <v>263.73600000000005</v>
      </c>
      <c r="I5" s="18">
        <f t="shared" si="1"/>
        <v>261.36000000000007</v>
      </c>
      <c r="J5" s="18">
        <f t="shared" si="1"/>
        <v>261.36000000000007</v>
      </c>
      <c r="K5" s="18">
        <f t="shared" si="1"/>
        <v>261.36000000000007</v>
      </c>
      <c r="L5" s="19">
        <v>216</v>
      </c>
      <c r="M5" s="17"/>
      <c r="N5" s="17"/>
      <c r="O5" s="15" t="s">
        <v>9</v>
      </c>
      <c r="P5" s="21"/>
      <c r="Q5" s="20">
        <v>175.7</v>
      </c>
      <c r="R5" s="16"/>
    </row>
    <row r="6" spans="2:18" x14ac:dyDescent="0.25">
      <c r="B6" s="17"/>
      <c r="C6" s="17">
        <v>2000000</v>
      </c>
      <c r="D6" s="18">
        <f>$L$6*$D$26*D27</f>
        <v>475.20000000000005</v>
      </c>
      <c r="E6" s="18">
        <f t="shared" ref="E6:K6" si="2">$L$6*$D$26*E27</f>
        <v>517.96800000000007</v>
      </c>
      <c r="F6" s="18">
        <f t="shared" si="2"/>
        <v>522.72000000000014</v>
      </c>
      <c r="G6" s="18">
        <f t="shared" si="2"/>
        <v>517.96800000000007</v>
      </c>
      <c r="H6" s="18">
        <f t="shared" si="2"/>
        <v>527.47200000000009</v>
      </c>
      <c r="I6" s="18">
        <f t="shared" si="2"/>
        <v>522.72000000000014</v>
      </c>
      <c r="J6" s="18">
        <f t="shared" si="2"/>
        <v>522.72000000000014</v>
      </c>
      <c r="K6" s="18">
        <f t="shared" si="2"/>
        <v>522.72000000000014</v>
      </c>
      <c r="L6" s="19">
        <v>432</v>
      </c>
      <c r="M6" s="17"/>
      <c r="N6" s="17"/>
      <c r="O6" s="15" t="s">
        <v>12</v>
      </c>
      <c r="P6" s="22"/>
      <c r="Q6" s="20">
        <v>198</v>
      </c>
      <c r="R6" s="16"/>
    </row>
    <row r="7" spans="2:18" x14ac:dyDescent="0.25">
      <c r="B7" s="17"/>
      <c r="C7" s="17">
        <v>3000000</v>
      </c>
      <c r="D7" s="18">
        <f>$L$7*$D$26*D27</f>
        <v>712.80000000000007</v>
      </c>
      <c r="E7" s="18">
        <f t="shared" ref="E7:K7" si="3">$L$7*$D$26*E27</f>
        <v>776.95200000000011</v>
      </c>
      <c r="F7" s="18">
        <f t="shared" si="3"/>
        <v>784.08000000000015</v>
      </c>
      <c r="G7" s="18">
        <f t="shared" si="3"/>
        <v>776.95200000000011</v>
      </c>
      <c r="H7" s="18">
        <f t="shared" si="3"/>
        <v>791.2080000000002</v>
      </c>
      <c r="I7" s="18">
        <f t="shared" si="3"/>
        <v>784.08000000000015</v>
      </c>
      <c r="J7" s="18">
        <f t="shared" si="3"/>
        <v>784.08000000000015</v>
      </c>
      <c r="K7" s="18">
        <f t="shared" si="3"/>
        <v>784.08000000000015</v>
      </c>
      <c r="L7" s="19">
        <v>648</v>
      </c>
      <c r="M7" s="17"/>
      <c r="N7" s="17"/>
      <c r="O7" s="15" t="s">
        <v>11</v>
      </c>
      <c r="P7" s="22"/>
      <c r="Q7" s="20">
        <v>238.14</v>
      </c>
      <c r="R7" s="16"/>
    </row>
    <row r="8" spans="2:18" x14ac:dyDescent="0.25">
      <c r="B8" s="17"/>
      <c r="C8" s="17">
        <v>4000000</v>
      </c>
      <c r="D8" s="18">
        <f>$L$8*$D$26*D27</f>
        <v>950.40000000000009</v>
      </c>
      <c r="E8" s="18">
        <f t="shared" ref="E8:K8" si="4">$L$8*$D$26*E27</f>
        <v>1035.9360000000001</v>
      </c>
      <c r="F8" s="18">
        <f t="shared" si="4"/>
        <v>1045.4400000000003</v>
      </c>
      <c r="G8" s="18">
        <f t="shared" si="4"/>
        <v>1035.9360000000001</v>
      </c>
      <c r="H8" s="18">
        <f t="shared" si="4"/>
        <v>1054.9440000000002</v>
      </c>
      <c r="I8" s="18">
        <f t="shared" si="4"/>
        <v>1045.4400000000003</v>
      </c>
      <c r="J8" s="18">
        <f t="shared" si="4"/>
        <v>1045.4400000000003</v>
      </c>
      <c r="K8" s="18">
        <f t="shared" si="4"/>
        <v>1045.4400000000003</v>
      </c>
      <c r="L8" s="19">
        <v>864</v>
      </c>
      <c r="M8" s="17"/>
      <c r="N8" s="17"/>
      <c r="O8" s="15" t="s">
        <v>15</v>
      </c>
      <c r="P8" s="22"/>
      <c r="Q8" s="20">
        <v>216.6</v>
      </c>
      <c r="R8" s="16"/>
    </row>
    <row r="9" spans="2:18" x14ac:dyDescent="0.25">
      <c r="B9" s="17"/>
      <c r="C9" s="17">
        <v>4000001</v>
      </c>
      <c r="D9" s="18">
        <f>ROUND($D$26*D27, 2)</f>
        <v>1.1000000000000001</v>
      </c>
      <c r="E9" s="18">
        <f t="shared" ref="E9:K9" si="5">ROUND($D$26*E27, 2)</f>
        <v>1.2</v>
      </c>
      <c r="F9" s="18">
        <f t="shared" si="5"/>
        <v>1.21</v>
      </c>
      <c r="G9" s="18">
        <f t="shared" si="5"/>
        <v>1.2</v>
      </c>
      <c r="H9" s="18">
        <f t="shared" si="5"/>
        <v>1.22</v>
      </c>
      <c r="I9" s="18">
        <f t="shared" si="5"/>
        <v>1.21</v>
      </c>
      <c r="J9" s="18">
        <f t="shared" si="5"/>
        <v>1.21</v>
      </c>
      <c r="K9" s="18">
        <f t="shared" si="5"/>
        <v>1.21</v>
      </c>
      <c r="L9" s="18"/>
      <c r="M9" s="17"/>
      <c r="N9" s="17"/>
      <c r="O9" s="15" t="s">
        <v>8</v>
      </c>
      <c r="P9" s="22"/>
      <c r="Q9" s="20">
        <v>178</v>
      </c>
      <c r="R9" s="16"/>
    </row>
    <row r="10" spans="2:18" x14ac:dyDescent="0.25">
      <c r="B10" s="122" t="s">
        <v>101</v>
      </c>
      <c r="C10" s="122"/>
      <c r="D10" s="18">
        <f>$L$10*$D$26*D27</f>
        <v>94.999999999959996</v>
      </c>
      <c r="E10" s="18">
        <f t="shared" ref="E10:K10" si="6">$L$10*$D$26*E27</f>
        <v>103.5499999999564</v>
      </c>
      <c r="F10" s="18">
        <f t="shared" si="6"/>
        <v>104.499999999956</v>
      </c>
      <c r="G10" s="18">
        <f t="shared" si="6"/>
        <v>103.5499999999564</v>
      </c>
      <c r="H10" s="18">
        <f t="shared" si="6"/>
        <v>105.44999999995561</v>
      </c>
      <c r="I10" s="18">
        <f t="shared" si="6"/>
        <v>104.499999999956</v>
      </c>
      <c r="J10" s="18">
        <f t="shared" si="6"/>
        <v>104.499999999956</v>
      </c>
      <c r="K10" s="18">
        <f t="shared" si="6"/>
        <v>104.499999999956</v>
      </c>
      <c r="L10" s="19">
        <v>86.363636363599994</v>
      </c>
      <c r="O10" s="15" t="s">
        <v>10</v>
      </c>
      <c r="P10" s="22"/>
      <c r="Q10" s="20">
        <v>176</v>
      </c>
      <c r="R10" s="16"/>
    </row>
    <row r="11" spans="2:18" x14ac:dyDescent="0.25">
      <c r="O11" s="15" t="s">
        <v>13</v>
      </c>
      <c r="P11" s="22"/>
      <c r="Q11" s="47">
        <v>163.30000000000001</v>
      </c>
      <c r="R11" s="16"/>
    </row>
    <row r="12" spans="2:18" x14ac:dyDescent="0.25">
      <c r="O12" s="10"/>
      <c r="P12" s="11"/>
      <c r="Q12" t="s">
        <v>17</v>
      </c>
      <c r="R12" s="12"/>
    </row>
    <row r="13" spans="2:18" x14ac:dyDescent="0.25">
      <c r="O13" s="15" t="s">
        <v>7</v>
      </c>
      <c r="Q13" t="s">
        <v>18</v>
      </c>
      <c r="R13" s="16" t="s">
        <v>59</v>
      </c>
    </row>
    <row r="14" spans="2:18" x14ac:dyDescent="0.25">
      <c r="O14" s="15" t="s">
        <v>19</v>
      </c>
      <c r="Q14" t="s">
        <v>0</v>
      </c>
      <c r="R14" s="16" t="s">
        <v>60</v>
      </c>
    </row>
    <row r="15" spans="2:18" x14ac:dyDescent="0.25">
      <c r="O15" s="15" t="s">
        <v>59</v>
      </c>
      <c r="Q15" t="s">
        <v>20</v>
      </c>
      <c r="R15" s="16"/>
    </row>
    <row r="16" spans="2:18" x14ac:dyDescent="0.25">
      <c r="B16" s="13"/>
      <c r="C16" s="13" t="s">
        <v>19</v>
      </c>
      <c r="D16" s="13" t="s">
        <v>8</v>
      </c>
      <c r="E16" s="13" t="s">
        <v>9</v>
      </c>
      <c r="F16" s="13" t="s">
        <v>10</v>
      </c>
      <c r="G16" s="13" t="s">
        <v>11</v>
      </c>
      <c r="H16" s="13" t="s">
        <v>12</v>
      </c>
      <c r="I16" s="13" t="s">
        <v>13</v>
      </c>
      <c r="J16" s="13" t="s">
        <v>14</v>
      </c>
      <c r="K16" s="13" t="s">
        <v>15</v>
      </c>
      <c r="O16" s="24" t="s">
        <v>60</v>
      </c>
      <c r="P16" s="23"/>
      <c r="Q16" s="23" t="s">
        <v>21</v>
      </c>
      <c r="R16" s="25"/>
    </row>
    <row r="17" spans="1:24" x14ac:dyDescent="0.25">
      <c r="A17">
        <v>1</v>
      </c>
      <c r="B17">
        <v>1</v>
      </c>
      <c r="C17" s="17">
        <v>500000</v>
      </c>
      <c r="D17" s="18">
        <f>(($D$23*$D$26)*D27)</f>
        <v>330</v>
      </c>
      <c r="E17" s="18">
        <f t="shared" ref="E17:K17" si="7">(($D$23*$D$26)*E27)</f>
        <v>359.70000000000005</v>
      </c>
      <c r="F17" s="18">
        <f t="shared" si="7"/>
        <v>363.00000000000006</v>
      </c>
      <c r="G17" s="18">
        <f t="shared" si="7"/>
        <v>359.70000000000005</v>
      </c>
      <c r="H17" s="18">
        <f t="shared" si="7"/>
        <v>366.3</v>
      </c>
      <c r="I17" s="18">
        <f t="shared" si="7"/>
        <v>363.00000000000006</v>
      </c>
      <c r="J17" s="18">
        <f t="shared" si="7"/>
        <v>363.00000000000006</v>
      </c>
      <c r="K17" s="18">
        <f t="shared" si="7"/>
        <v>363.00000000000006</v>
      </c>
    </row>
    <row r="18" spans="1:24" x14ac:dyDescent="0.25">
      <c r="A18">
        <v>2</v>
      </c>
      <c r="B18">
        <v>500001</v>
      </c>
      <c r="C18" t="s">
        <v>22</v>
      </c>
      <c r="D18" s="18">
        <f>(SUM('Bridging Calculator'!$N$26, -$C$17)/1000*0.6+$D$23)*D27*$D$26</f>
        <v>0</v>
      </c>
      <c r="E18" s="18">
        <f>(SUM('Bridging Calculator'!$N$26, -$C$17)/1000*0.6+$D$23)*E27*$D$26</f>
        <v>0</v>
      </c>
      <c r="F18" s="18">
        <f>(SUM('Bridging Calculator'!$N$26, -$C$17)/1000*0.6+$D$23)*F27*$D$26</f>
        <v>0</v>
      </c>
      <c r="G18" s="18">
        <f>(SUM('Bridging Calculator'!$N$26, -$C$17)/1000*0.6+$D$23)*G27*$D$26</f>
        <v>0</v>
      </c>
      <c r="H18" s="18">
        <f>(SUM('Bridging Calculator'!$N$26, -$C$17)/1000*0.6+$D$23)*H27*$D$26</f>
        <v>0</v>
      </c>
      <c r="I18" s="18">
        <f>(SUM('Bridging Calculator'!$N$26, -$C$17)/1000*0.6+$D$23)*I27*$D$26</f>
        <v>0</v>
      </c>
      <c r="J18" s="18">
        <f>(SUM('Bridging Calculator'!$N$26, -$C$17)/1000*0.6+$D$23)*J27*$D$26</f>
        <v>0</v>
      </c>
      <c r="K18" s="18">
        <f>(SUM('Bridging Calculator'!$N$26, -$C$17)/1000*0.6+$D$23)*K27*$D$26</f>
        <v>0</v>
      </c>
    </row>
    <row r="19" spans="1:24" x14ac:dyDescent="0.25">
      <c r="D19" s="18"/>
      <c r="U19" t="s">
        <v>103</v>
      </c>
    </row>
    <row r="20" spans="1:24" x14ac:dyDescent="0.25">
      <c r="D20" s="18"/>
      <c r="F20" s="18"/>
      <c r="H20" s="18"/>
      <c r="J20" s="18"/>
      <c r="U20" t="str">
        <f>'Bridging Calculator'!C11</f>
        <v>NSW</v>
      </c>
      <c r="V20" t="str" cm="1">
        <f t="array" ref="V20">_xlfn.UNIQUE(_xlfn._xlws.FILTER(U20:U21, U20:U21&lt;&gt;"", ""))</f>
        <v>NSW</v>
      </c>
      <c r="W20" cm="1">
        <f t="array" ref="W20">COUNTIF(U20:U21,_xlfn.UNIQUE(_xlfn._xlws.FILTER(U20:U21, U20:U21&lt;&gt;0)))</f>
        <v>2</v>
      </c>
      <c r="X20" s="106" cm="1">
        <f t="array" ref="X20">IF('Bridging Calculator'!F19=0,
0,
IFERROR(IF('Bridging Calculator'!F19&lt;=4000000,
_xlfn.XLOOKUP('Bridging Calculator'!F19,$C$4:$C$9,_xlfn.XLOOKUP(V20,$D$3:$K$3,$D$4:$K$9,,,),,1,),
ROUNDUP(('Bridging Calculator'!F19/1000)*0.5*_xlfn.XLOOKUP(V20,$D$3:$K$3,$D$9:$K$9,,,),2))+IF((W20-1)&lt;0,0,(_xlfn.XLOOKUP(V20,$D$3:$K$3,$D$10:$K$10,,,)*(W20-1))),0))</f>
        <v>0</v>
      </c>
    </row>
    <row r="21" spans="1:24" x14ac:dyDescent="0.25">
      <c r="U21" t="str">
        <f>'Bridging Calculator'!C17</f>
        <v>NSW</v>
      </c>
      <c r="X21" s="106" cm="1">
        <f t="array" ref="X21">IF('Bridging Calculator'!F19=0,
0,
IFERROR(IF('Bridging Calculator'!F19&lt;=4000000,
_xlfn.XLOOKUP('Bridging Calculator'!F19,$C$4:$C$9,_xlfn.XLOOKUP(V21,$D$3:$K$3,$D$4:$K$9,,,),,1,),
ROUNDUP(('Bridging Calculator'!F19/1000)*0.5*_xlfn.XLOOKUP(V21,$D$3:$K$3,$D$9:$K$9,,,),2))+IF((W21-1)&lt;0,0,(_xlfn.XLOOKUP(V21,$D$3:$K$3,$D$10:$K$10,,,)*(W21-1))),0))</f>
        <v>0</v>
      </c>
    </row>
    <row r="22" spans="1:24" x14ac:dyDescent="0.25">
      <c r="D22" s="18"/>
      <c r="X22" s="106"/>
    </row>
    <row r="23" spans="1:24" x14ac:dyDescent="0.25">
      <c r="C23" s="14" t="s">
        <v>23</v>
      </c>
      <c r="D23" s="19">
        <v>300</v>
      </c>
      <c r="X23" s="106"/>
    </row>
    <row r="24" spans="1:24" s="1" customFormat="1" x14ac:dyDescent="0.25">
      <c r="D24" s="26"/>
    </row>
    <row r="25" spans="1:24" ht="15.75" thickBot="1" x14ac:dyDescent="0.3">
      <c r="D25" s="18"/>
    </row>
    <row r="26" spans="1:24" ht="15.75" thickBot="1" x14ac:dyDescent="0.3">
      <c r="A26" s="136"/>
      <c r="B26" s="27"/>
      <c r="C26" s="28" t="s">
        <v>24</v>
      </c>
      <c r="D26" s="137">
        <v>1.1000000000000001</v>
      </c>
      <c r="E26" s="138"/>
      <c r="F26" s="138"/>
      <c r="G26" s="138"/>
      <c r="H26" s="138"/>
      <c r="I26" s="138"/>
      <c r="J26" s="138"/>
      <c r="K26" s="139"/>
      <c r="M26" t="s">
        <v>59</v>
      </c>
    </row>
    <row r="27" spans="1:24" ht="15.75" thickBot="1" x14ac:dyDescent="0.3">
      <c r="A27" s="136"/>
      <c r="B27" s="29"/>
      <c r="C27" s="30" t="s">
        <v>25</v>
      </c>
      <c r="D27" s="31">
        <v>1</v>
      </c>
      <c r="E27" s="32">
        <v>1.0900000000000001</v>
      </c>
      <c r="F27" s="32">
        <v>1.1000000000000001</v>
      </c>
      <c r="G27" s="32">
        <v>1.0900000000000001</v>
      </c>
      <c r="H27" s="32">
        <v>1.1100000000000001</v>
      </c>
      <c r="I27" s="32">
        <v>1.1000000000000001</v>
      </c>
      <c r="J27" s="32">
        <v>1.1000000000000001</v>
      </c>
      <c r="K27" s="33">
        <v>1.1000000000000001</v>
      </c>
      <c r="M27" t="s">
        <v>60</v>
      </c>
    </row>
    <row r="28" spans="1:24" ht="15.75" thickBot="1" x14ac:dyDescent="0.3">
      <c r="A28" s="136"/>
      <c r="B28" s="29"/>
      <c r="D28" s="29"/>
      <c r="F28" s="29"/>
      <c r="G28" s="29"/>
    </row>
    <row r="29" spans="1:24" ht="15.75" thickBot="1" x14ac:dyDescent="0.3">
      <c r="A29" s="136"/>
      <c r="B29" s="29"/>
      <c r="D29" s="29"/>
      <c r="F29" s="29"/>
      <c r="G29" s="29"/>
    </row>
    <row r="30" spans="1:24" ht="15.75" thickBot="1" x14ac:dyDescent="0.3">
      <c r="A30" s="136"/>
      <c r="B30" s="29"/>
      <c r="D30" s="29"/>
      <c r="F30" s="29"/>
      <c r="G30" s="29"/>
    </row>
    <row r="31" spans="1:24" ht="15.75" thickBot="1" x14ac:dyDescent="0.3">
      <c r="A31" s="136"/>
      <c r="B31" s="29"/>
      <c r="D31" s="29"/>
    </row>
    <row r="32" spans="1:24" x14ac:dyDescent="0.25">
      <c r="A32" s="136"/>
      <c r="B32" s="29"/>
      <c r="D32" s="29"/>
    </row>
    <row r="33" spans="1:10" s="1" customFormat="1" x14ac:dyDescent="0.25">
      <c r="A33" s="34"/>
      <c r="B33" s="34"/>
      <c r="C33" s="34"/>
      <c r="D33" s="34"/>
      <c r="E33" s="34"/>
      <c r="F33" s="34"/>
      <c r="G33" s="34"/>
    </row>
    <row r="34" spans="1:10" ht="15.75" thickBot="1" x14ac:dyDescent="0.3">
      <c r="A34" s="140"/>
      <c r="B34" s="35"/>
      <c r="C34" s="35"/>
      <c r="D34" s="36"/>
      <c r="E34" s="36"/>
      <c r="G34" s="36"/>
    </row>
    <row r="35" spans="1:10" ht="16.5" thickTop="1" thickBot="1" x14ac:dyDescent="0.3">
      <c r="A35" s="140"/>
      <c r="B35" s="29"/>
      <c r="C35" s="29"/>
      <c r="D35" s="36"/>
      <c r="E35" s="36"/>
      <c r="F35" s="37"/>
      <c r="G35" s="36"/>
    </row>
    <row r="36" spans="1:10" ht="15.75" thickBot="1" x14ac:dyDescent="0.3">
      <c r="A36" s="140"/>
      <c r="B36" s="29"/>
      <c r="C36" s="29"/>
      <c r="D36" s="36"/>
      <c r="E36" s="36"/>
      <c r="F36" s="36"/>
      <c r="G36" s="36"/>
    </row>
    <row r="37" spans="1:10" ht="15.75" thickBot="1" x14ac:dyDescent="0.3">
      <c r="A37" s="140"/>
      <c r="B37" s="29"/>
      <c r="C37" s="29"/>
      <c r="D37" s="36"/>
      <c r="E37" s="36"/>
      <c r="F37" s="36"/>
      <c r="G37" s="36"/>
    </row>
    <row r="38" spans="1:10" ht="15.75" thickBot="1" x14ac:dyDescent="0.3">
      <c r="A38" s="140"/>
      <c r="B38" s="29"/>
      <c r="C38" s="29"/>
      <c r="D38" s="36"/>
      <c r="E38" s="36"/>
      <c r="F38" s="36"/>
      <c r="G38" s="36"/>
    </row>
    <row r="39" spans="1:10" ht="15.75" thickBot="1" x14ac:dyDescent="0.3">
      <c r="A39" s="140"/>
      <c r="B39" s="29"/>
      <c r="C39" s="29"/>
      <c r="D39" s="36"/>
      <c r="E39" s="36"/>
      <c r="F39" s="36"/>
      <c r="G39" s="36"/>
    </row>
    <row r="40" spans="1:10" ht="15.75" thickBot="1" x14ac:dyDescent="0.3">
      <c r="A40" s="140"/>
      <c r="B40" s="29"/>
      <c r="C40" s="29"/>
      <c r="D40" s="36"/>
      <c r="E40" s="36"/>
      <c r="F40" s="36"/>
      <c r="G40" s="36"/>
    </row>
    <row r="41" spans="1:10" x14ac:dyDescent="0.25">
      <c r="A41" s="140"/>
      <c r="B41" s="29"/>
      <c r="C41" s="29"/>
      <c r="D41" s="36"/>
      <c r="E41" s="36"/>
      <c r="F41" s="36"/>
      <c r="G41" s="36"/>
    </row>
    <row r="42" spans="1:10" s="1" customFormat="1" x14ac:dyDescent="0.25">
      <c r="A42" s="34"/>
      <c r="D42" s="34"/>
      <c r="E42" s="34"/>
      <c r="F42" s="34"/>
      <c r="G42" s="34"/>
    </row>
    <row r="43" spans="1:10" x14ac:dyDescent="0.25">
      <c r="A43" s="141"/>
      <c r="B43" s="38"/>
      <c r="D43" s="38"/>
      <c r="E43" s="36"/>
      <c r="F43" s="36"/>
      <c r="G43" s="36"/>
    </row>
    <row r="44" spans="1:10" x14ac:dyDescent="0.25">
      <c r="A44" s="141"/>
      <c r="B44" s="38"/>
      <c r="D44" s="38"/>
      <c r="E44" s="36"/>
      <c r="F44" s="36"/>
      <c r="G44" s="36"/>
    </row>
    <row r="45" spans="1:10" x14ac:dyDescent="0.25">
      <c r="A45" s="141"/>
      <c r="B45" s="38"/>
      <c r="D45" s="38"/>
      <c r="E45" s="36"/>
      <c r="F45" s="36"/>
      <c r="G45" s="36"/>
    </row>
    <row r="46" spans="1:10" x14ac:dyDescent="0.25">
      <c r="A46" s="141"/>
      <c r="B46" s="38"/>
      <c r="D46" s="38"/>
      <c r="E46" s="36"/>
      <c r="F46" s="36"/>
      <c r="G46" s="36"/>
    </row>
    <row r="47" spans="1:10" x14ac:dyDescent="0.25">
      <c r="A47" s="141"/>
      <c r="B47" s="38"/>
      <c r="D47" s="38"/>
      <c r="E47" s="36"/>
      <c r="F47" s="36"/>
      <c r="G47" s="36"/>
      <c r="H47" s="36"/>
      <c r="I47" s="36"/>
      <c r="J47" s="36"/>
    </row>
    <row r="48" spans="1:10" x14ac:dyDescent="0.25">
      <c r="A48" s="141"/>
      <c r="B48" s="38"/>
      <c r="D48" s="38"/>
      <c r="E48" s="36"/>
      <c r="F48" s="36"/>
      <c r="G48" s="36"/>
      <c r="H48" s="36"/>
      <c r="I48" s="36"/>
      <c r="J48" s="36"/>
    </row>
    <row r="49" spans="1:10" x14ac:dyDescent="0.25">
      <c r="A49" s="141"/>
      <c r="B49" s="38"/>
      <c r="D49" s="38"/>
      <c r="E49" s="36"/>
      <c r="F49" s="36"/>
      <c r="G49" s="36"/>
      <c r="H49" s="36"/>
      <c r="I49" s="36"/>
      <c r="J49" s="36"/>
    </row>
    <row r="50" spans="1:10" x14ac:dyDescent="0.25">
      <c r="A50" s="141"/>
      <c r="B50" s="38"/>
      <c r="D50" s="38"/>
      <c r="E50" s="36"/>
      <c r="F50" s="36"/>
      <c r="G50" s="36"/>
      <c r="H50" s="36"/>
      <c r="I50" s="36"/>
      <c r="J50" s="36"/>
    </row>
    <row r="51" spans="1:10" x14ac:dyDescent="0.25">
      <c r="A51" s="141"/>
      <c r="B51" s="38"/>
      <c r="D51" s="38"/>
      <c r="E51" s="36"/>
      <c r="F51" s="36"/>
      <c r="G51" s="36"/>
      <c r="H51" s="36"/>
      <c r="I51" s="36"/>
      <c r="J51" s="36"/>
    </row>
    <row r="52" spans="1:10" x14ac:dyDescent="0.25">
      <c r="A52" s="141"/>
      <c r="B52" s="38"/>
      <c r="D52" s="38"/>
      <c r="E52" s="36"/>
      <c r="F52" s="36"/>
      <c r="G52" s="36"/>
      <c r="H52" s="36"/>
      <c r="I52" s="36"/>
      <c r="J52" s="36"/>
    </row>
    <row r="53" spans="1:10" x14ac:dyDescent="0.25">
      <c r="A53" s="141"/>
      <c r="B53" s="38"/>
      <c r="D53" s="38"/>
      <c r="E53" s="36"/>
      <c r="F53" s="36"/>
      <c r="G53" s="36"/>
      <c r="H53" s="36"/>
      <c r="I53" s="36"/>
      <c r="J53" s="36"/>
    </row>
    <row r="54" spans="1:10" x14ac:dyDescent="0.25">
      <c r="A54" s="141"/>
      <c r="B54" s="38"/>
      <c r="D54" s="38"/>
      <c r="E54" s="36"/>
      <c r="F54" s="36"/>
      <c r="G54" s="36"/>
      <c r="H54" s="36"/>
      <c r="I54" s="36"/>
      <c r="J54" s="36"/>
    </row>
    <row r="55" spans="1:10" x14ac:dyDescent="0.25">
      <c r="A55" s="141"/>
      <c r="B55" s="38"/>
      <c r="D55" s="38"/>
      <c r="E55" s="36"/>
      <c r="F55" s="36"/>
      <c r="G55" s="36"/>
      <c r="H55" s="36"/>
      <c r="I55" s="36"/>
      <c r="J55" s="36"/>
    </row>
    <row r="56" spans="1:10" x14ac:dyDescent="0.25">
      <c r="A56" s="141"/>
      <c r="B56" s="38"/>
      <c r="D56" s="38"/>
      <c r="E56" s="36"/>
      <c r="F56" s="36"/>
      <c r="G56" s="36"/>
      <c r="H56" s="36"/>
      <c r="I56" s="36"/>
      <c r="J56" s="36"/>
    </row>
    <row r="57" spans="1:10" x14ac:dyDescent="0.25">
      <c r="A57" s="141"/>
      <c r="B57" s="38"/>
      <c r="D57" s="38"/>
      <c r="E57" s="36"/>
      <c r="F57" s="36"/>
      <c r="G57" s="36"/>
      <c r="H57" s="36"/>
      <c r="I57" s="36"/>
      <c r="J57" s="36"/>
    </row>
    <row r="58" spans="1:10" x14ac:dyDescent="0.25">
      <c r="A58" s="141"/>
      <c r="B58" s="38"/>
      <c r="D58" s="38"/>
      <c r="E58" s="36"/>
      <c r="F58" s="36"/>
      <c r="G58" s="36"/>
      <c r="H58" s="36"/>
      <c r="I58" s="36"/>
      <c r="J58" s="36"/>
    </row>
    <row r="59" spans="1:10" x14ac:dyDescent="0.25">
      <c r="A59" s="141"/>
      <c r="B59" s="38"/>
      <c r="D59" s="38"/>
      <c r="E59" s="36"/>
      <c r="F59" s="36"/>
      <c r="G59" s="36"/>
      <c r="H59" s="36"/>
      <c r="I59" s="36"/>
      <c r="J59" s="36"/>
    </row>
    <row r="60" spans="1:10" x14ac:dyDescent="0.25">
      <c r="A60" s="141"/>
      <c r="B60" s="38"/>
      <c r="D60" s="38"/>
      <c r="E60" s="36"/>
      <c r="F60" s="36"/>
      <c r="G60" s="36"/>
      <c r="H60" s="36"/>
      <c r="I60" s="36"/>
      <c r="J60" s="36"/>
    </row>
    <row r="61" spans="1:10" s="1" customFormat="1" x14ac:dyDescent="0.25">
      <c r="A61" s="34"/>
      <c r="B61" s="34"/>
      <c r="C61" s="34"/>
      <c r="D61" s="34"/>
      <c r="E61" s="34"/>
      <c r="F61" s="34"/>
      <c r="G61" s="34"/>
      <c r="H61" s="34"/>
      <c r="I61" s="34"/>
      <c r="J61" s="34"/>
    </row>
    <row r="62" spans="1:10" ht="15.75" thickBot="1" x14ac:dyDescent="0.3">
      <c r="A62" s="142"/>
      <c r="B62" s="35"/>
      <c r="D62" s="35"/>
      <c r="F62" s="36"/>
      <c r="G62" s="36"/>
      <c r="H62" s="36"/>
      <c r="I62" s="36"/>
      <c r="J62" s="36"/>
    </row>
    <row r="63" spans="1:10" ht="16.5" thickTop="1" thickBot="1" x14ac:dyDescent="0.3">
      <c r="A63" s="142"/>
      <c r="B63" s="29"/>
      <c r="D63" s="29"/>
      <c r="F63" s="36"/>
      <c r="G63" s="36"/>
      <c r="H63" s="36"/>
      <c r="I63" s="36"/>
      <c r="J63" s="36"/>
    </row>
    <row r="64" spans="1:10" ht="15.75" thickBot="1" x14ac:dyDescent="0.3">
      <c r="A64" s="142"/>
      <c r="B64" s="29"/>
      <c r="D64" s="29"/>
      <c r="F64" s="36"/>
      <c r="G64" s="36"/>
      <c r="H64" s="36"/>
      <c r="I64" s="36"/>
      <c r="J64" s="36"/>
    </row>
    <row r="65" spans="1:13" ht="15.75" thickBot="1" x14ac:dyDescent="0.3">
      <c r="A65" s="142"/>
      <c r="B65" s="29"/>
      <c r="D65" s="29"/>
      <c r="F65" s="36"/>
      <c r="G65" s="36"/>
      <c r="H65" s="36"/>
      <c r="I65" s="36"/>
      <c r="J65" s="36"/>
    </row>
    <row r="66" spans="1:13" ht="15.75" thickBot="1" x14ac:dyDescent="0.3">
      <c r="A66" s="142"/>
      <c r="B66" s="39"/>
      <c r="D66" s="39"/>
      <c r="F66" s="36"/>
      <c r="G66" s="36"/>
      <c r="H66" s="36"/>
      <c r="I66" s="36"/>
      <c r="J66" s="36"/>
    </row>
    <row r="67" spans="1:13" x14ac:dyDescent="0.25">
      <c r="A67" s="142"/>
      <c r="B67" s="29"/>
      <c r="D67" s="29"/>
      <c r="F67" s="36"/>
      <c r="G67" s="36"/>
      <c r="H67" s="36"/>
      <c r="I67" s="36"/>
      <c r="J67" s="36"/>
    </row>
    <row r="68" spans="1:13" s="1" customFormat="1" x14ac:dyDescent="0.25">
      <c r="F68" s="34"/>
      <c r="G68" s="34"/>
      <c r="H68" s="34"/>
      <c r="I68" s="34"/>
      <c r="J68" s="34"/>
    </row>
    <row r="69" spans="1:13" ht="15.75" thickBot="1" x14ac:dyDescent="0.3">
      <c r="A69" s="135" t="s">
        <v>15</v>
      </c>
      <c r="B69" s="36" t="s">
        <v>26</v>
      </c>
      <c r="C69" s="36"/>
      <c r="D69" s="36"/>
      <c r="E69" s="36"/>
      <c r="F69" s="36"/>
      <c r="G69" s="36"/>
      <c r="H69" s="36"/>
      <c r="I69" s="36"/>
      <c r="J69" t="s">
        <v>27</v>
      </c>
    </row>
    <row r="70" spans="1:13" ht="15.75" thickBot="1" x14ac:dyDescent="0.3">
      <c r="A70" s="135"/>
      <c r="B70" s="40" t="s">
        <v>28</v>
      </c>
      <c r="D70" s="41" t="s">
        <v>29</v>
      </c>
      <c r="F70" s="36"/>
      <c r="G70" s="36"/>
      <c r="H70" s="36"/>
      <c r="I70" s="36"/>
      <c r="J70" s="40" t="s">
        <v>30</v>
      </c>
      <c r="M70" s="41" t="s">
        <v>29</v>
      </c>
    </row>
    <row r="71" spans="1:13" ht="15.75" thickBot="1" x14ac:dyDescent="0.3">
      <c r="A71" s="135"/>
      <c r="B71" s="42" t="s">
        <v>31</v>
      </c>
      <c r="D71" s="42" t="s">
        <v>32</v>
      </c>
      <c r="E71" s="36"/>
      <c r="F71" s="36"/>
      <c r="G71" s="36"/>
      <c r="H71" s="36"/>
      <c r="I71" s="36"/>
      <c r="J71" s="42" t="s">
        <v>33</v>
      </c>
      <c r="M71" s="42" t="s">
        <v>34</v>
      </c>
    </row>
    <row r="72" spans="1:13" ht="15.75" thickBot="1" x14ac:dyDescent="0.3">
      <c r="A72" s="135"/>
      <c r="B72" s="42" t="s">
        <v>35</v>
      </c>
      <c r="D72" s="42" t="s">
        <v>36</v>
      </c>
      <c r="E72" s="36"/>
      <c r="F72" s="36"/>
      <c r="G72" s="36"/>
      <c r="H72" s="36"/>
      <c r="I72" s="36"/>
      <c r="J72" s="42" t="s">
        <v>37</v>
      </c>
      <c r="M72" s="42" t="s">
        <v>38</v>
      </c>
    </row>
    <row r="73" spans="1:13" ht="15.75" thickBot="1" x14ac:dyDescent="0.3">
      <c r="A73" s="135"/>
      <c r="B73" s="42" t="s">
        <v>39</v>
      </c>
      <c r="D73" s="42" t="s">
        <v>40</v>
      </c>
      <c r="E73" s="36"/>
      <c r="F73" s="36"/>
      <c r="G73" s="36"/>
      <c r="H73" s="36"/>
      <c r="I73" s="36"/>
      <c r="J73" s="42" t="s">
        <v>41</v>
      </c>
      <c r="M73" s="42" t="s">
        <v>42</v>
      </c>
    </row>
    <row r="74" spans="1:13" ht="15.75" thickBot="1" x14ac:dyDescent="0.3">
      <c r="A74" s="135"/>
      <c r="B74" s="42" t="s">
        <v>43</v>
      </c>
      <c r="D74" s="42" t="s">
        <v>44</v>
      </c>
      <c r="E74" s="36"/>
      <c r="F74" s="36"/>
      <c r="G74" s="36"/>
      <c r="H74" s="36"/>
      <c r="I74" s="36"/>
      <c r="J74" s="42" t="s">
        <v>45</v>
      </c>
      <c r="M74" s="42" t="s">
        <v>46</v>
      </c>
    </row>
    <row r="75" spans="1:13" ht="15.75" thickBot="1" x14ac:dyDescent="0.3">
      <c r="A75" s="135"/>
      <c r="B75" s="42" t="s">
        <v>47</v>
      </c>
      <c r="D75" s="42" t="s">
        <v>48</v>
      </c>
      <c r="E75" s="36"/>
      <c r="F75" s="36"/>
      <c r="G75" s="36"/>
      <c r="H75" s="36"/>
      <c r="I75" s="36"/>
      <c r="J75" s="42" t="s">
        <v>49</v>
      </c>
      <c r="M75" s="42" t="s">
        <v>50</v>
      </c>
    </row>
    <row r="76" spans="1:13" s="1" customFormat="1" x14ac:dyDescent="0.25">
      <c r="A76" s="34"/>
      <c r="E76" s="34"/>
      <c r="F76" s="34"/>
      <c r="G76" s="34"/>
      <c r="H76" s="34"/>
      <c r="I76" s="34"/>
    </row>
    <row r="77" spans="1:13" x14ac:dyDescent="0.25">
      <c r="A77" s="36"/>
      <c r="B77" s="36"/>
      <c r="C77" s="36"/>
      <c r="D77" s="36"/>
      <c r="E77" s="36"/>
      <c r="F77" s="36"/>
      <c r="G77" s="36"/>
      <c r="H77" s="36"/>
      <c r="I77" s="36"/>
      <c r="J77" s="36"/>
    </row>
    <row r="78" spans="1:13" x14ac:dyDescent="0.25">
      <c r="A78" s="36"/>
      <c r="B78" s="36"/>
      <c r="C78" s="36"/>
      <c r="D78" s="36"/>
      <c r="E78" s="36"/>
      <c r="F78" s="36"/>
      <c r="G78" s="36"/>
      <c r="H78" s="36"/>
      <c r="I78" s="36"/>
      <c r="J78" s="36"/>
    </row>
    <row r="79" spans="1:13" x14ac:dyDescent="0.25">
      <c r="A79" s="36"/>
      <c r="B79" s="36"/>
      <c r="C79" s="36"/>
      <c r="D79" s="36"/>
      <c r="E79" s="36"/>
      <c r="F79" s="36"/>
      <c r="G79" s="36"/>
      <c r="H79" s="36"/>
      <c r="I79" s="36"/>
      <c r="J79" s="36"/>
    </row>
    <row r="80" spans="1:13" x14ac:dyDescent="0.25">
      <c r="A80" s="36"/>
      <c r="B80" s="36"/>
      <c r="C80" s="36"/>
      <c r="D80" s="36"/>
      <c r="E80" s="36"/>
      <c r="F80" s="36"/>
      <c r="G80" s="36"/>
      <c r="H80" s="36"/>
      <c r="I80" s="36"/>
      <c r="J80" s="36"/>
    </row>
    <row r="81" spans="1:10" x14ac:dyDescent="0.25">
      <c r="A81" s="36"/>
      <c r="B81" s="36"/>
      <c r="C81" s="36"/>
      <c r="D81" s="36"/>
      <c r="E81" s="36"/>
      <c r="F81" s="36"/>
      <c r="G81" s="36"/>
      <c r="H81" s="36"/>
      <c r="I81" s="36"/>
      <c r="J81" s="36"/>
    </row>
    <row r="82" spans="1:10" x14ac:dyDescent="0.25">
      <c r="A82" s="36"/>
      <c r="B82" s="36"/>
      <c r="C82" s="36"/>
      <c r="D82" s="36"/>
      <c r="E82" s="36"/>
      <c r="F82" s="36"/>
      <c r="G82" s="36"/>
      <c r="H82" s="36"/>
      <c r="I82" s="36"/>
      <c r="J82" s="36"/>
    </row>
    <row r="83" spans="1:10" x14ac:dyDescent="0.25">
      <c r="A83" s="36"/>
      <c r="B83" s="36"/>
      <c r="C83" s="36"/>
      <c r="D83" s="36"/>
      <c r="E83" s="36"/>
      <c r="F83" s="36"/>
      <c r="G83" s="36"/>
      <c r="H83" s="36"/>
      <c r="I83" s="36"/>
      <c r="J83" s="36"/>
    </row>
    <row r="84" spans="1:10" x14ac:dyDescent="0.25">
      <c r="A84" s="36"/>
      <c r="B84" s="36"/>
      <c r="C84" s="36"/>
      <c r="D84" s="36"/>
      <c r="E84" s="36"/>
      <c r="F84" s="36"/>
      <c r="G84" s="36"/>
      <c r="H84" s="36"/>
      <c r="I84" s="36"/>
      <c r="J84" s="36"/>
    </row>
    <row r="85" spans="1:10" x14ac:dyDescent="0.25">
      <c r="A85" s="36"/>
      <c r="B85" s="36"/>
      <c r="C85" s="36"/>
      <c r="D85" s="36"/>
      <c r="E85" s="36"/>
      <c r="F85" s="36"/>
      <c r="G85" s="36"/>
      <c r="H85" s="36"/>
      <c r="I85" s="36"/>
      <c r="J85" s="36"/>
    </row>
    <row r="86" spans="1:10" x14ac:dyDescent="0.25">
      <c r="A86" s="36"/>
      <c r="B86" s="36"/>
      <c r="C86" s="36"/>
      <c r="D86" s="36"/>
      <c r="E86" s="36"/>
      <c r="F86" s="36"/>
      <c r="G86" s="36"/>
      <c r="H86" s="36"/>
      <c r="I86" s="36"/>
      <c r="J86" s="36"/>
    </row>
    <row r="87" spans="1:10" x14ac:dyDescent="0.25">
      <c r="A87" s="36"/>
      <c r="B87" s="36"/>
      <c r="C87" s="36"/>
      <c r="D87" s="36"/>
      <c r="E87" s="36"/>
      <c r="F87" s="36"/>
      <c r="G87" s="36"/>
      <c r="H87" s="36"/>
      <c r="I87" s="36"/>
      <c r="J87" s="36"/>
    </row>
    <row r="88" spans="1:10" x14ac:dyDescent="0.25">
      <c r="A88" s="36"/>
      <c r="B88" s="36"/>
      <c r="C88" s="36"/>
      <c r="D88" s="36"/>
      <c r="E88" s="36"/>
      <c r="F88" s="36"/>
      <c r="G88" s="36"/>
      <c r="H88" s="36"/>
      <c r="I88" s="36"/>
      <c r="J88" s="36"/>
    </row>
    <row r="89" spans="1:10" x14ac:dyDescent="0.25">
      <c r="A89" s="36"/>
      <c r="B89" s="36"/>
      <c r="C89" s="36"/>
      <c r="D89" s="36"/>
      <c r="E89" s="36"/>
      <c r="F89" s="36"/>
      <c r="G89" s="36"/>
      <c r="H89" s="36"/>
      <c r="I89" s="36"/>
      <c r="J89" s="36"/>
    </row>
    <row r="90" spans="1:10" x14ac:dyDescent="0.25">
      <c r="A90" s="36"/>
      <c r="B90" s="36"/>
      <c r="C90" s="36"/>
      <c r="D90" s="36"/>
      <c r="E90" s="36"/>
      <c r="F90" s="36"/>
      <c r="G90" s="36"/>
      <c r="H90" s="36"/>
      <c r="I90" s="36"/>
      <c r="J90" s="36"/>
    </row>
    <row r="91" spans="1:10" x14ac:dyDescent="0.25">
      <c r="A91" s="36"/>
      <c r="B91" s="36"/>
      <c r="C91" s="36"/>
      <c r="D91" s="36"/>
      <c r="E91" s="36"/>
      <c r="F91" s="36"/>
      <c r="G91" s="36"/>
      <c r="H91" s="36"/>
      <c r="I91" s="36"/>
      <c r="J91" s="36"/>
    </row>
    <row r="92" spans="1:10" x14ac:dyDescent="0.25">
      <c r="A92" s="36"/>
      <c r="B92" s="36"/>
      <c r="C92" s="36"/>
      <c r="D92" s="36"/>
      <c r="E92" s="36"/>
      <c r="F92" s="36"/>
      <c r="G92" s="36"/>
      <c r="H92" s="36"/>
      <c r="I92" s="36"/>
      <c r="J92" s="36"/>
    </row>
    <row r="93" spans="1:10" x14ac:dyDescent="0.25">
      <c r="A93" s="36"/>
      <c r="B93" s="36"/>
      <c r="C93" s="36"/>
      <c r="D93" s="36"/>
      <c r="E93" s="36"/>
      <c r="F93" s="36"/>
      <c r="G93" s="36"/>
      <c r="H93" s="36"/>
      <c r="I93" s="36"/>
      <c r="J93" s="36"/>
    </row>
    <row r="94" spans="1:10" x14ac:dyDescent="0.25">
      <c r="A94" s="36"/>
      <c r="B94" s="36"/>
      <c r="C94" s="36"/>
      <c r="D94" s="36"/>
      <c r="E94" s="36"/>
      <c r="F94" s="36"/>
      <c r="G94" s="36"/>
      <c r="H94" s="36"/>
      <c r="I94" s="36"/>
      <c r="J94" s="36"/>
    </row>
    <row r="95" spans="1:10" x14ac:dyDescent="0.25">
      <c r="A95" s="36"/>
      <c r="B95" s="36"/>
      <c r="C95" s="36"/>
      <c r="D95" s="36"/>
      <c r="E95" s="36"/>
      <c r="F95" s="36"/>
      <c r="G95" s="36"/>
      <c r="H95" s="36"/>
      <c r="I95" s="36"/>
      <c r="J95" s="36"/>
    </row>
    <row r="96" spans="1:10" x14ac:dyDescent="0.25">
      <c r="A96" s="36"/>
      <c r="B96" s="36"/>
      <c r="C96" s="36"/>
      <c r="D96" s="36"/>
      <c r="E96" s="36"/>
      <c r="F96" s="36"/>
      <c r="G96" s="36"/>
      <c r="H96" s="36"/>
      <c r="I96" s="36"/>
      <c r="J96" s="36"/>
    </row>
    <row r="97" spans="1:10" x14ac:dyDescent="0.25">
      <c r="A97" s="36"/>
      <c r="B97" s="36"/>
      <c r="C97" s="36"/>
      <c r="D97" s="36"/>
      <c r="E97" s="36"/>
      <c r="F97" s="36"/>
      <c r="G97" s="36"/>
      <c r="H97" s="36"/>
      <c r="I97" s="36"/>
      <c r="J97" s="36"/>
    </row>
    <row r="98" spans="1:10" x14ac:dyDescent="0.25">
      <c r="A98" s="36"/>
      <c r="B98" s="36"/>
      <c r="C98" s="36"/>
      <c r="D98" s="36"/>
      <c r="E98" s="36"/>
      <c r="F98" s="36"/>
      <c r="G98" s="36"/>
      <c r="H98" s="36"/>
      <c r="I98" s="36"/>
      <c r="J98" s="36"/>
    </row>
    <row r="99" spans="1:10" x14ac:dyDescent="0.25">
      <c r="A99" s="36"/>
      <c r="B99" s="36"/>
      <c r="C99" s="36"/>
      <c r="D99" s="36"/>
      <c r="E99" s="36"/>
      <c r="F99" s="36"/>
      <c r="G99" s="36"/>
      <c r="H99" s="36"/>
      <c r="I99" s="36"/>
      <c r="J99" s="36"/>
    </row>
    <row r="100" spans="1:10" x14ac:dyDescent="0.25">
      <c r="A100" s="36"/>
      <c r="B100" s="36"/>
      <c r="C100" s="36"/>
      <c r="D100" s="36"/>
      <c r="E100" s="36"/>
      <c r="F100" s="36"/>
      <c r="G100" s="36"/>
      <c r="H100" s="36"/>
      <c r="I100" s="36"/>
      <c r="J100" s="36"/>
    </row>
    <row r="101" spans="1:10" x14ac:dyDescent="0.25">
      <c r="A101" s="36"/>
      <c r="B101" s="36"/>
      <c r="C101" s="36"/>
      <c r="D101" s="36"/>
      <c r="E101" s="36"/>
      <c r="F101" s="36"/>
      <c r="G101" s="36"/>
      <c r="H101" s="36"/>
      <c r="I101" s="36"/>
      <c r="J101" s="36"/>
    </row>
    <row r="102" spans="1:10" x14ac:dyDescent="0.25">
      <c r="A102" s="36"/>
      <c r="B102" s="36"/>
      <c r="C102" s="36"/>
      <c r="D102" s="36"/>
      <c r="E102" s="36"/>
      <c r="F102" s="36"/>
      <c r="G102" s="36"/>
      <c r="H102" s="36"/>
      <c r="I102" s="36"/>
      <c r="J102" s="36"/>
    </row>
    <row r="103" spans="1:10" x14ac:dyDescent="0.25">
      <c r="A103" s="36"/>
      <c r="B103" s="36"/>
      <c r="C103" s="36"/>
      <c r="D103" s="36"/>
      <c r="E103" s="36"/>
      <c r="F103" s="36"/>
      <c r="G103" s="36"/>
      <c r="H103" s="36"/>
      <c r="I103" s="36"/>
      <c r="J103" s="36"/>
    </row>
    <row r="104" spans="1:10" x14ac:dyDescent="0.25">
      <c r="A104" s="36"/>
      <c r="B104" s="36"/>
      <c r="C104" s="36"/>
      <c r="D104" s="36"/>
      <c r="E104" s="36"/>
      <c r="F104" s="36"/>
      <c r="G104" s="36"/>
      <c r="H104" s="36"/>
      <c r="I104" s="36"/>
      <c r="J104" s="36"/>
    </row>
    <row r="105" spans="1:10" x14ac:dyDescent="0.25">
      <c r="A105" s="36"/>
      <c r="B105" s="36"/>
      <c r="C105" s="36"/>
      <c r="D105" s="36"/>
      <c r="E105" s="36"/>
      <c r="F105" s="36"/>
      <c r="G105" s="36"/>
      <c r="H105" s="36"/>
      <c r="I105" s="36"/>
      <c r="J105" s="36"/>
    </row>
    <row r="106" spans="1:10" x14ac:dyDescent="0.25">
      <c r="A106" s="36"/>
      <c r="B106" s="36"/>
      <c r="C106" s="36"/>
      <c r="D106" s="36"/>
      <c r="E106" s="36"/>
      <c r="F106" s="36"/>
      <c r="G106" s="36"/>
      <c r="H106" s="36"/>
      <c r="I106" s="36"/>
      <c r="J106" s="36"/>
    </row>
    <row r="107" spans="1:10" x14ac:dyDescent="0.25">
      <c r="A107" s="36"/>
      <c r="B107" s="36"/>
      <c r="C107" s="36"/>
      <c r="D107" s="36"/>
      <c r="E107" s="36"/>
      <c r="F107" s="36"/>
      <c r="G107" s="36"/>
      <c r="H107" s="36"/>
      <c r="I107" s="36"/>
      <c r="J107" s="36"/>
    </row>
    <row r="108" spans="1:10" x14ac:dyDescent="0.25">
      <c r="A108" s="36"/>
      <c r="B108" s="36"/>
      <c r="C108" s="36"/>
      <c r="D108" s="36"/>
      <c r="E108" s="36"/>
      <c r="F108" s="36"/>
      <c r="G108" s="36"/>
      <c r="H108" s="36"/>
      <c r="I108" s="36"/>
      <c r="J108" s="36"/>
    </row>
    <row r="109" spans="1:10" x14ac:dyDescent="0.25">
      <c r="A109" s="36"/>
      <c r="B109" s="36"/>
      <c r="C109" s="36"/>
      <c r="D109" s="36"/>
      <c r="E109" s="36"/>
      <c r="F109" s="36"/>
      <c r="G109" s="36"/>
      <c r="H109" s="36"/>
      <c r="I109" s="36"/>
      <c r="J109" s="36"/>
    </row>
    <row r="110" spans="1:10" x14ac:dyDescent="0.25">
      <c r="A110" s="36"/>
      <c r="B110" s="36"/>
      <c r="C110" s="36"/>
      <c r="D110" s="36"/>
      <c r="E110" s="36"/>
      <c r="F110" s="36"/>
      <c r="G110" s="36"/>
      <c r="H110" s="36"/>
      <c r="I110" s="36"/>
      <c r="J110" s="36"/>
    </row>
    <row r="111" spans="1:10" x14ac:dyDescent="0.25">
      <c r="A111" s="36"/>
      <c r="B111" s="36"/>
      <c r="C111" s="36"/>
      <c r="D111" s="36"/>
      <c r="E111" s="36"/>
      <c r="F111" s="36"/>
      <c r="G111" s="36"/>
      <c r="H111" s="36"/>
      <c r="I111" s="36"/>
      <c r="J111" s="36"/>
    </row>
    <row r="112" spans="1:10" x14ac:dyDescent="0.25">
      <c r="A112" s="36"/>
      <c r="B112" s="36"/>
      <c r="C112" s="36"/>
      <c r="D112" s="36"/>
      <c r="E112" s="36"/>
      <c r="F112" s="36"/>
      <c r="G112" s="36"/>
      <c r="H112" s="36"/>
      <c r="I112" s="36"/>
      <c r="J112" s="36"/>
    </row>
    <row r="113" spans="1:10" x14ac:dyDescent="0.25">
      <c r="A113" s="36"/>
      <c r="B113" s="36"/>
      <c r="C113" s="36"/>
      <c r="D113" s="36"/>
      <c r="E113" s="36"/>
      <c r="F113" s="36"/>
      <c r="G113" s="36"/>
      <c r="H113" s="36"/>
      <c r="I113" s="36"/>
      <c r="J113" s="36"/>
    </row>
    <row r="114" spans="1:10" x14ac:dyDescent="0.25">
      <c r="A114" s="36"/>
      <c r="B114" s="36"/>
      <c r="C114" s="36"/>
      <c r="D114" s="36"/>
      <c r="E114" s="36"/>
      <c r="F114" s="36"/>
      <c r="G114" s="36"/>
      <c r="H114" s="36"/>
      <c r="I114" s="36"/>
      <c r="J114" s="36"/>
    </row>
  </sheetData>
  <sheetProtection selectLockedCells="1" selectUnlockedCells="1"/>
  <mergeCells count="7">
    <mergeCell ref="B10:C10"/>
    <mergeCell ref="A69:A75"/>
    <mergeCell ref="A26:A32"/>
    <mergeCell ref="D26:K26"/>
    <mergeCell ref="A34:A41"/>
    <mergeCell ref="A43:A60"/>
    <mergeCell ref="A62:A67"/>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3370B394538840A39500C6DD0670D8" ma:contentTypeVersion="17" ma:contentTypeDescription="Create a new document." ma:contentTypeScope="" ma:versionID="5208667dbdff8581f8223c3a3e7cccf5">
  <xsd:schema xmlns:xsd="http://www.w3.org/2001/XMLSchema" xmlns:xs="http://www.w3.org/2001/XMLSchema" xmlns:p="http://schemas.microsoft.com/office/2006/metadata/properties" xmlns:ns2="83caaaf1-1aba-43cf-b1dc-625fa2fd59b1" xmlns:ns3="63b28810-ca42-43c9-bcb3-6e15f62676f7" targetNamespace="http://schemas.microsoft.com/office/2006/metadata/properties" ma:root="true" ma:fieldsID="2fcb799a8a12d342ef8b0c8a100d90ba" ns2:_="" ns3:_="">
    <xsd:import namespace="83caaaf1-1aba-43cf-b1dc-625fa2fd59b1"/>
    <xsd:import namespace="63b28810-ca42-43c9-bcb3-6e15f62676f7"/>
    <xsd:element name="properties">
      <xsd:complexType>
        <xsd:sequence>
          <xsd:element name="documentManagement">
            <xsd:complexType>
              <xsd:all>
                <xsd:element ref="ns2:ab0b06b1831e41a59e4353f4cf2d3d29" minOccurs="0"/>
                <xsd:element ref="ns3:TaxCatchAll" minOccurs="0"/>
                <xsd:element ref="ns2:MediaServiceMetadata" minOccurs="0"/>
                <xsd:element ref="ns2:MediaServiceFastMetadata" minOccurs="0"/>
                <xsd:element ref="ns2:_Flow_SignoffStatus"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caaaf1-1aba-43cf-b1dc-625fa2fd59b1" elementFormDefault="qualified">
    <xsd:import namespace="http://schemas.microsoft.com/office/2006/documentManagement/types"/>
    <xsd:import namespace="http://schemas.microsoft.com/office/infopath/2007/PartnerControls"/>
    <xsd:element name="ab0b06b1831e41a59e4353f4cf2d3d29" ma:index="9" nillable="true" ma:taxonomy="true" ma:internalName="ab0b06b1831e41a59e4353f4cf2d3d29" ma:taxonomyFieldName="Department" ma:displayName="Department" ma:default="" ma:fieldId="{ab0b06b1-831e-41a5-9e43-53f4cf2d3d29}" ma:sspId="62b5b8c1-409c-4227-8815-e29c70834590" ma:termSetId="8ed8c9ea-7052-4c1d-a4d7-b9c10bffea6f" ma:anchorId="00000000-0000-0000-0000-000000000000"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3" nillable="true" ma:displayName="Sign-off status" ma:internalName="Sign_x002d_off_x0020_status">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2b5b8c1-409c-4227-8815-e29c7083459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b28810-ca42-43c9-bcb3-6e15f62676f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69c711a-fe7d-4792-9025-926c816ed5e0}" ma:internalName="TaxCatchAll" ma:showField="CatchAllData" ma:web="63b28810-ca42-43c9-bcb3-6e15f62676f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b0b06b1831e41a59e4353f4cf2d3d29 xmlns="83caaaf1-1aba-43cf-b1dc-625fa2fd59b1">
      <Terms xmlns="http://schemas.microsoft.com/office/infopath/2007/PartnerControls"/>
    </ab0b06b1831e41a59e4353f4cf2d3d29>
    <lcf76f155ced4ddcb4097134ff3c332f xmlns="83caaaf1-1aba-43cf-b1dc-625fa2fd59b1">
      <Terms xmlns="http://schemas.microsoft.com/office/infopath/2007/PartnerControls"/>
    </lcf76f155ced4ddcb4097134ff3c332f>
    <TaxCatchAll xmlns="63b28810-ca42-43c9-bcb3-6e15f62676f7" xsi:nil="true"/>
    <_Flow_SignoffStatus xmlns="83caaaf1-1aba-43cf-b1dc-625fa2fd59b1" xsi:nil="true"/>
  </documentManagement>
</p:properties>
</file>

<file path=customXml/itemProps1.xml><?xml version="1.0" encoding="utf-8"?>
<ds:datastoreItem xmlns:ds="http://schemas.openxmlformats.org/officeDocument/2006/customXml" ds:itemID="{A59389F1-F131-41DD-BD42-847DCE563DC8}">
  <ds:schemaRefs>
    <ds:schemaRef ds:uri="http://schemas.microsoft.com/sharepoint/v3/contenttype/forms"/>
  </ds:schemaRefs>
</ds:datastoreItem>
</file>

<file path=customXml/itemProps2.xml><?xml version="1.0" encoding="utf-8"?>
<ds:datastoreItem xmlns:ds="http://schemas.openxmlformats.org/officeDocument/2006/customXml" ds:itemID="{45C0CA4B-E39E-41C5-8713-F41BC698B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caaaf1-1aba-43cf-b1dc-625fa2fd59b1"/>
    <ds:schemaRef ds:uri="63b28810-ca42-43c9-bcb3-6e15f6267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A85BF8-45FF-4E8F-B80D-CEBCF2B4233E}">
  <ds:schemaRefs>
    <ds:schemaRef ds:uri="http://schemas.microsoft.com/office/2006/metadata/properties"/>
    <ds:schemaRef ds:uri="http://schemas.microsoft.com/office/infopath/2007/PartnerControls"/>
    <ds:schemaRef ds:uri="83caaaf1-1aba-43cf-b1dc-625fa2fd59b1"/>
    <ds:schemaRef ds:uri="63b28810-ca42-43c9-bcb3-6e15f62676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Bridging Calculator</vt:lpstr>
      <vt:lpstr>Data</vt:lpstr>
      <vt:lpstr>Data!comments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Tom Wells</cp:lastModifiedBy>
  <dcterms:created xsi:type="dcterms:W3CDTF">2021-04-10T05:13:06Z</dcterms:created>
  <dcterms:modified xsi:type="dcterms:W3CDTF">2025-07-10T05:29:21Z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0x010100DD3370B394538840A39500C6DD0670D8</vt:lpwstr>
  </property>
</Properties>
</file>